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tabRatio="851" activeTab="6"/>
  </bookViews>
  <sheets>
    <sheet name="10  финансирование" sheetId="1" r:id="rId1"/>
    <sheet name="11  финансирование ист" sheetId="2" r:id="rId2"/>
    <sheet name="12 освоение" sheetId="3" r:id="rId3"/>
    <sheet name="13  осн этапы " sheetId="4" r:id="rId4"/>
    <sheet name="14 Принятие ОС" sheetId="5" r:id="rId5"/>
    <sheet name="15  постановка под напр" sheetId="6" r:id="rId6"/>
    <sheet name="16 ввод мощности" sheetId="7" r:id="rId7"/>
    <sheet name="17 Квартал вывод" sheetId="8" r:id="rId8"/>
  </sheets>
  <definedNames>
    <definedName name="_xlnm.Print_Area" localSheetId="0">'10  финансирование'!$A$1:$X$74</definedName>
    <definedName name="_xlnm.Print_Area" localSheetId="1">'11  финансирование ист'!$A$1:$M$72</definedName>
    <definedName name="_xlnm.Print_Area" localSheetId="2">'12 освоение'!$A$1:$AI$73</definedName>
    <definedName name="_xlnm.Print_Area" localSheetId="3">'13  осн этапы '!$A$1:$W$90</definedName>
    <definedName name="_xlnm.Print_Area" localSheetId="4">'14 Принятие ОС'!$A$1:$BZ$76</definedName>
    <definedName name="_xlnm.Print_Area" localSheetId="5">'15  постановка под напр'!$A$1:$BB$83</definedName>
    <definedName name="_xlnm.Print_Area" localSheetId="7">'17 Квартал вывод'!$A$1:$BD$59</definedName>
  </definedNames>
  <calcPr fullCalcOnLoad="1"/>
</workbook>
</file>

<file path=xl/sharedStrings.xml><?xml version="1.0" encoding="utf-8"?>
<sst xmlns="http://schemas.openxmlformats.org/spreadsheetml/2006/main" count="2202" uniqueCount="260">
  <si>
    <t xml:space="preserve"> </t>
  </si>
  <si>
    <t>Приложение  № 10</t>
  </si>
  <si>
    <t>к приказу Минэнерго России</t>
  </si>
  <si>
    <t>от «__» _____ 2016 г. №___</t>
  </si>
  <si>
    <t xml:space="preserve">об исполнении инвестиционной программы </t>
  </si>
  <si>
    <t>ООО «Энергосервис»</t>
  </si>
  <si>
    <t>по состоянию на 13.02.2018</t>
  </si>
  <si>
    <t>Раздел 1. Отчет об исполнении плана ее финансирования  инвестиционной программы</t>
  </si>
  <si>
    <t>№ пп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</si>
  <si>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</si>
  <si>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</si>
  <si>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</si>
  <si>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</si>
  <si>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 xml:space="preserve">Оценка полной стоимости инвестиционного проекта  в прогнозных ценах соответствующих лет, млн рублей (с НДС) </t>
  </si>
  <si>
    <t xml:space="preserve">Фактический объем финансирования на  01.01.2017 г., млн рублей 
(с НДС) </t>
  </si>
  <si>
    <t xml:space="preserve">Остаток финансирования капитальных вложений 
на  01.01.2017 года в прогнозных ценах соответствующих лет,  млн рублей (с НДС) </t>
  </si>
  <si>
    <t>Объем финансирования, млн рублей (с НДС)</t>
  </si>
  <si>
    <t xml:space="preserve">Остаток финансирования капитальных вложений 
на  01.01.2018 в прогнозных ценах соответствующих лет,  млн рублей (с НДС) </t>
  </si>
  <si>
    <t>Отклонение от плана финансирования отчетного квартала</t>
  </si>
  <si>
    <t>Причины отклонений</t>
  </si>
  <si>
    <t>Всего</t>
  </si>
  <si>
    <t>1 квартал</t>
  </si>
  <si>
    <t>2 квартал</t>
  </si>
  <si>
    <t>3 квартал</t>
  </si>
  <si>
    <t>4 квартал</t>
  </si>
  <si>
    <t>млн рублей
 (с НДС)</t>
  </si>
  <si>
    <t>%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</si>
  <si>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</si>
  <si>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</si>
  <si>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</si>
  <si>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</t>
  </si>
  <si>
    <t>Факт</t>
  </si>
  <si>
    <t>ВСЕГО по инвестиционной программе, в том числе:</t>
  </si>
  <si>
    <t>1 кв.2014</t>
  </si>
  <si>
    <t>1.1.</t>
  </si>
  <si>
    <t>Новое строительство, всего:</t>
  </si>
  <si>
    <t>1.1.1.</t>
  </si>
  <si>
    <t xml:space="preserve">Строительство КЛ-0,4 кВ от ТП-677 до ВРУ-0,4 кВ нестационарного торгового объекта (по адресу: г.Кострома, п.Новый, напротив д.3) </t>
  </si>
  <si>
    <t>Восстановление энергоснабжения потребителя</t>
  </si>
  <si>
    <t>1.1.2.</t>
  </si>
  <si>
    <t>ВЛИ-0,4кВ от КТП № 10 "Авиационная" до Ноура, г. Шарья, ул. Авиационная</t>
  </si>
  <si>
    <t>1.1.3.</t>
  </si>
  <si>
    <t>Воздушная линия электропередач 0,4 кВ в д. Лужиново, Столпинское сельское поселение</t>
  </si>
  <si>
    <t>1.1.4.</t>
  </si>
  <si>
    <t>Кабельная линия 0,4 кВ в районе вертолетного ангара в д. Лужиново, Столпинское сельское поселение</t>
  </si>
  <si>
    <t>1.1.5.</t>
  </si>
  <si>
    <t>ВЛИ-0,4кВ от ТП -669  до ВРУ-0,23кВ строительной площадки пос. Прибрежный</t>
  </si>
  <si>
    <t>1.1.6.</t>
  </si>
  <si>
    <t>Строительство кабельной линии 0.4кВ от ТП (Красная маёвка) до ВРУ(к дому 1)</t>
  </si>
  <si>
    <t>1.1.7.</t>
  </si>
  <si>
    <t>Строительство кабельной линии 0.4кВ от ТП(Красная маёвка) до ВРУ (к дому №2).</t>
  </si>
  <si>
    <t>1.1.8.</t>
  </si>
  <si>
    <t>Строительство кабельной линии 0.4кВ от ТП(Красная Маёвка) до ВРУ (к дому №3)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</si>
  <si>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</si>
  <si>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</si>
  <si>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</si>
  <si>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 трансформаторных и иных подстанций, всего, в том числе:</t>
  </si>
  <si>
    <t>1.2.1.1</t>
  </si>
  <si>
    <t>Реконструкция приобретенных трансформаторных подстанций</t>
  </si>
  <si>
    <t>Отложено в связи с выполненим неотложных мероприятий по повышению надежности энергоснабжения потребителей</t>
  </si>
  <si>
    <t>1.2.1.2</t>
  </si>
  <si>
    <t>Рекострукция здания трансформаторной подстанции (нежилое),1-эт.общ.пл.75,6кв.м., г.Кострома, ул.Нижняя Дебря,д104</t>
  </si>
  <si>
    <t>1.2.2</t>
  </si>
  <si>
    <t>Реконструкция линий электропередач, всего, в том числе:</t>
  </si>
  <si>
    <t>1.2.2.1.</t>
  </si>
  <si>
    <t>Реконструкция КЛ-0,4кВ г.Шарья,  ул. Дружба д. 6</t>
  </si>
  <si>
    <t>н/д</t>
  </si>
  <si>
    <t>1.2.2.2.</t>
  </si>
  <si>
    <t>Реконструкция  КЛ-0,4кВ г.Шарья ул. Победы д. 39</t>
  </si>
  <si>
    <t>1.2.2.3.</t>
  </si>
  <si>
    <t>Реконструкция  КЛ-0,4кВ п. Ветлужский ул. Кв. Победы д.4</t>
  </si>
  <si>
    <t>1.2.2.4.</t>
  </si>
  <si>
    <t>Реконструкция  КЛ-0,4кВ п. Ветлужский ул. Кв. Победы д.4Б</t>
  </si>
  <si>
    <t>1.2.2.5.</t>
  </si>
  <si>
    <t>Реконструкция  КЛ-0,4кВ п. Ветлужский ул. Юбилейная д. 7</t>
  </si>
  <si>
    <t>1.2.2.6.</t>
  </si>
  <si>
    <t>Реконструкция  КЛ-0,4кВ п. Ветлужский ул. Садовая д. 20</t>
  </si>
  <si>
    <t>1.2.2.7.</t>
  </si>
  <si>
    <t>Реконструкция  КЛ-0,4кВ г.Шарья ул. 50 лет Советской власти д. 27</t>
  </si>
  <si>
    <t>1.2.2.8.</t>
  </si>
  <si>
    <t>Реконструкция  КЛ-0,4кВ п. Ветлужский ул. Кв. Победы д. 3</t>
  </si>
  <si>
    <t>1.2.2.9.</t>
  </si>
  <si>
    <t>Реконструкция  КЛ-0,4кВ п. Ветлужский ул. Рабочая д. 47</t>
  </si>
  <si>
    <t>1.2.2.10.</t>
  </si>
  <si>
    <t>Реконструкция ВЛ-0,4кВ от ТП-669 пос. Прибрежный, (Электрические сети 0,4 кв (лит. Л) протяженностью 1729,6 м)</t>
  </si>
  <si>
    <t>1.2.2.11.</t>
  </si>
  <si>
    <t>Реконструкция приобретенных воздушных линий</t>
  </si>
  <si>
    <t>1.2.2.12.</t>
  </si>
  <si>
    <t>Реконструкция приобретенных кабельных линий</t>
  </si>
  <si>
    <t>1.2.3.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</si>
  <si>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</si>
  <si>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 ТП-737 (г.Кострома, ул. Ленина, 95). Замена силового трансформатора.</t>
  </si>
  <si>
    <t>Модернизация ТП-385 (г.Кострома, ул.Костромская, д.110, лит.Л)</t>
  </si>
  <si>
    <t>1.2.1.3</t>
  </si>
  <si>
    <t>Модернизация ТП-459 (г.Кострома, ул. 2-я Волжская)</t>
  </si>
  <si>
    <t>Выполнение обусловлено пришедшим в неудовлетворительное состояние оборудование</t>
  </si>
  <si>
    <t>1.2.1.4</t>
  </si>
  <si>
    <t>Модернизация ТП,г. Кострома, мкр-н Малышково</t>
  </si>
  <si>
    <t>1.2.1.5</t>
  </si>
  <si>
    <t>Модернизация подстанции Кадыйский рай-он,Столпинское сельское поселение,д.Лужиново</t>
  </si>
  <si>
    <t>1.2.4.</t>
  </si>
  <si>
    <t>Модернизация, техническое перевооружение линий электропередач, всего, в том числе:</t>
  </si>
  <si>
    <t>1.2.4.1</t>
  </si>
  <si>
    <t>Модернизация КЛ-0,4 кВ от ТП-677 до ВРУ средней школы № 36 п. Новый, 3-а</t>
  </si>
  <si>
    <t>1.2.4.2</t>
  </si>
  <si>
    <t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</t>
  </si>
  <si>
    <t>1.2.4.3</t>
  </si>
  <si>
    <t>Модернизация линии электропередачи 0,4кВт пос. Гуляевка</t>
  </si>
  <si>
    <t>1.2.4.4</t>
  </si>
  <si>
    <t>Модернизация кабельной линии от  ВРУ ж/д № 15 до ВРУ ж/д № 15-а по ул. Профсоюзной</t>
  </si>
  <si>
    <t>1.2.4.5</t>
  </si>
  <si>
    <t>Модернизация кабельной линии от  ТП-134 до ВРУ ж/д № 15 по ул. Гагарина</t>
  </si>
  <si>
    <t>1.2.4.6</t>
  </si>
  <si>
    <t>Модернизация кабельной линии от ТП-134 до ВРУ ж/д № 2-в по ул. Гагарина, от ТП-134 до муфты, от муфты до ВРУ ж-д</t>
  </si>
  <si>
    <t>1.2.4.7</t>
  </si>
  <si>
    <t>Модернизация кабельной линии от ТП-134 до опоры ВЛ к ж/д № 11,13 по ул. Гагарина</t>
  </si>
  <si>
    <t>1.2.4.8</t>
  </si>
  <si>
    <t>Модернизация кабельной линии от ТП-134 до опоры ВЛ к ж/д № 17,19 по ул. Гагарина</t>
  </si>
  <si>
    <t>1.2.4.9</t>
  </si>
  <si>
    <t>Модернизация кабельной линии от ТП-410 до ВРУ ж/д № 13-а по ул. Профсоюзной</t>
  </si>
  <si>
    <t>1.2.4.10</t>
  </si>
  <si>
    <t>Модернизация кабельной линии от ТП-461 до ВРУ ж/д № 46 по ул. Профсоюзной</t>
  </si>
  <si>
    <t>1.2.4.11</t>
  </si>
  <si>
    <t>Модернизация кабельной линии от ТП410 до ВРУ жилого д.№ 13/2 по ул. Профсоюзной протяженностью 150 м.п.(0,4 кВ)</t>
  </si>
  <si>
    <t>1.3.</t>
  </si>
  <si>
    <t>Прочие инвестиционные проекты, всего, в том числе:</t>
  </si>
  <si>
    <t>1.3.1</t>
  </si>
  <si>
    <t>Приобретение трансформаторных подстанций</t>
  </si>
  <si>
    <t>план 4 квартала выполнялся ранее</t>
  </si>
  <si>
    <t>1.3.2</t>
  </si>
  <si>
    <t>Приобретение воздушных линий</t>
  </si>
  <si>
    <t>1.3.3</t>
  </si>
  <si>
    <t>Приобретение кабельных линий</t>
  </si>
  <si>
    <t>план 4 квартала выполнен в 3 квартале</t>
  </si>
  <si>
    <t>1.3.4</t>
  </si>
  <si>
    <t>Чайка-сервис 27844s</t>
  </si>
  <si>
    <t>1.3.5</t>
  </si>
  <si>
    <t>Аппарат Ricoh Aficio Mp 201SPF A4 640Mб, 20 стр/мин дуплекс LAN, ARDF50 тонер.,высокая тумба</t>
  </si>
  <si>
    <t>1.3.6</t>
  </si>
  <si>
    <t>Приобретение тепловизора Fluke Tix 500 9Гц</t>
  </si>
  <si>
    <t>1.3.7</t>
  </si>
  <si>
    <t>Монтаж системы отпления - нежилое помещение № 2(комнаты №1-12),общ. пл-дь 499,3 кв.м  г. Кострома, ул. Галичская,100</t>
  </si>
  <si>
    <t>1.3.8</t>
  </si>
  <si>
    <t>Приобретение прочих объектов основных средств</t>
  </si>
  <si>
    <t>Приложение  № 11</t>
  </si>
  <si>
    <t>Год раскрытия информации: 2018год</t>
  </si>
  <si>
    <t>ООО "Энергосервис"</t>
  </si>
  <si>
    <t xml:space="preserve">Раздел 2. Отчет об исполнении плана финансирования в разрезе источников финансирования </t>
  </si>
  <si>
    <t>Идентифика-тор инвестицион-ного проекта</t>
  </si>
  <si>
    <t>Общий плановый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</si>
  <si>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</si>
  <si>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</si>
  <si>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</si>
  <si>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</si>
  <si>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</si>
  <si>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1.1.1</t>
  </si>
  <si>
    <t>1.1.2</t>
  </si>
  <si>
    <t xml:space="preserve">ВЛИ-0,4кВ от КТП № 10 "Авиационная" до Ноура, г. Шарья, ул. Авиационная, </t>
  </si>
  <si>
    <t>1.1.3</t>
  </si>
  <si>
    <t>1.1.4</t>
  </si>
  <si>
    <t>1.1.5</t>
  </si>
  <si>
    <t>1.1.6</t>
  </si>
  <si>
    <t>1.1.7</t>
  </si>
  <si>
    <t>1.1.8</t>
  </si>
  <si>
    <t>1.2.1.</t>
  </si>
  <si>
    <t>1.2.3</t>
  </si>
  <si>
    <t>1.2.3.1</t>
  </si>
  <si>
    <t>1.2.3.2</t>
  </si>
  <si>
    <t>1.2.3.3</t>
  </si>
  <si>
    <t>1.2.3.4</t>
  </si>
  <si>
    <t>1.2.3.5</t>
  </si>
  <si>
    <t>1.2.4</t>
  </si>
  <si>
    <t xml:space="preserve"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 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</si>
  <si>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</si>
  <si>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</si>
  <si>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</si>
  <si>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</si>
  <si>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</si>
  <si>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</si>
  <si>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</si>
  <si>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</si>
  <si>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Приложение  № 12</t>
  </si>
  <si>
    <t>Раздел 3. Отчет об исполнении плана освоения капитальных вложений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</si>
  <si>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</si>
  <si>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 xml:space="preserve">Фактический объем освоения капитальных вложений на  01.01.2017 г., млн рублей 
(без НДС) </t>
  </si>
  <si>
    <t xml:space="preserve">Остаток освоения капитальных вложений 
на  01.01.2017 г. года,  
млн рублей 
(без НДС) </t>
  </si>
  <si>
    <t xml:space="preserve">Объем освоения капитальных вложений, млн рублей (без НДС) </t>
  </si>
  <si>
    <t xml:space="preserve">Остаток освоения капитальных вложений 
на  конец отчетного квартала,  
млн рублей 
(без НДС) </t>
  </si>
  <si>
    <t>Отклонение от плана освоения капитальных вложений</t>
  </si>
  <si>
    <t>млн рублей
 (без НДС)</t>
  </si>
  <si>
    <t xml:space="preserve">Факт </t>
  </si>
  <si>
    <t>в базисном уровне цен</t>
  </si>
  <si>
    <t>в прогнозных ценах соответствующих лет</t>
  </si>
  <si>
    <t>в базисном уровне цен, млн рублей</t>
  </si>
  <si>
    <t>нд</t>
  </si>
  <si>
    <t>Строительство КЛ-0,4 кВ от ТП-677 до ВРУ-0,4 кВ нестационарного торгового объекта (по адресу: г.Кострома, п.Новый, напротив д.3)</t>
  </si>
  <si>
    <t>1.2.2.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</si>
  <si>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</si>
  <si>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</si>
  <si>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</si>
  <si>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</si>
  <si>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</si>
  <si>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</si>
  <si>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</si>
  <si>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</si>
  <si>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</si>
  <si>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</si>
  <si>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</si>
  <si>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</si>
  <si>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Замена провода для увеличения пропускной способности</t>
  </si>
  <si>
    <t>Повышение надежности энергснабжения потребителей</t>
  </si>
  <si>
    <t>Приложение  № 13</t>
  </si>
  <si>
    <t>Год раскрытия информации: 2018 год</t>
  </si>
  <si>
    <t>Идентификатор инвестицион-ного проекта</t>
  </si>
  <si>
    <t>Плановый объем финансирования, млн рублей</t>
  </si>
  <si>
    <t>Фактически профинансировано, млн рублей</t>
  </si>
  <si>
    <t>Отклонение фактического объема финансирования от планового, млн рублей</t>
  </si>
  <si>
    <t>Фактически освоено (закрыто актами выполненных работ), млн рублей</t>
  </si>
  <si>
    <t>ПИР</t>
  </si>
  <si>
    <t>СМР</t>
  </si>
  <si>
    <t>оборудование и материалы</t>
  </si>
  <si>
    <t>прочие</t>
  </si>
  <si>
    <t xml:space="preserve">ВЛИ-0,4кВ от КТП № 10 "Авиационная" до Ноура, г. Шарья, ул. Авиационная, тех.прис. </t>
  </si>
  <si>
    <t>Реконструкция линий электропередач,всего, в том числе:</t>
  </si>
  <si>
    <t>Приложение  № 14</t>
  </si>
  <si>
    <t>Раздел 6. Отчет о вводе основных средств</t>
  </si>
  <si>
    <t>Наименование инвестиционного проекта (группы инвестиционных проектов)</t>
  </si>
  <si>
    <t>Принятие основных средств и нематериальных активов к бухгалтерскому учету</t>
  </si>
  <si>
    <t>Причины неисполнения плана</t>
  </si>
  <si>
    <t>Отклонение от плана ввода основных средств</t>
  </si>
  <si>
    <t xml:space="preserve">3 квартал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</si>
  <si>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</si>
  <si>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</si>
  <si>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</si>
  <si>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</si>
  <si>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</si>
  <si>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</si>
  <si>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</si>
  <si>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</si>
  <si>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выполнение план 4 кв</t>
  </si>
  <si>
    <t>Выполнение обусловлено необходимостью повышения надежности энергоснабжения объектов</t>
  </si>
  <si>
    <t>Приложение  № 15</t>
  </si>
  <si>
    <t>Раздел 4. Отчет о постановке объектов электросетевого хозяйства под напряжение</t>
  </si>
  <si>
    <t xml:space="preserve">Всего </t>
  </si>
  <si>
    <t>2 квартвл</t>
  </si>
  <si>
    <t>Приложение  № 16</t>
  </si>
  <si>
    <t>Раздел 5. Отчет о вводе объектов (мощностей) в эксплуатацию</t>
  </si>
  <si>
    <t>Ввод мощностей в эксплуатацию</t>
  </si>
  <si>
    <t>км ВЛ
 1-цеп</t>
  </si>
  <si>
    <t>км ВЛ
 2-цеп</t>
  </si>
  <si>
    <t>км КЛ</t>
  </si>
  <si>
    <t>Приложение  № 17</t>
  </si>
  <si>
    <t xml:space="preserve">Раздел 7. Отчет о выводе мощностей из эксплуатации </t>
  </si>
  <si>
    <t>Диспетчерское наименование</t>
  </si>
  <si>
    <t>Вывод мощностей из эксплуатации</t>
  </si>
  <si>
    <t>Демонтаж ВЛИ-0,4 кВ г.Шарья, ул. Шагова-Олимпийская</t>
  </si>
  <si>
    <t>Отчет за  2017 год</t>
  </si>
  <si>
    <t>Отчет за 2017 год</t>
  </si>
  <si>
    <t>КЛ-0,4 кВ от ТП-677 до ВРУ-0,4 кВ нестационарного торгового объекта (по адресу: г.Кострома, п.Новый, напротив д.3)</t>
  </si>
  <si>
    <t>Раздел 4. Отчет об исполнении основных этапов работ по реализации инвестиционной программы за 2017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</si>
</sst>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00"/>
    <numFmt numFmtId="174" formatCode="#,##0.00,"/>
    <numFmt numFmtId="175" formatCode="0.000"/>
    <numFmt numFmtId="176" formatCode="0.000%"/>
    <numFmt numFmtId="177" formatCode="mm/yy"/>
    <numFmt numFmtId="178" formatCode="0.0000"/>
    <numFmt numFmtId="179" formatCode="#,##0.00000"/>
    <numFmt numFmtId="180" formatCode="0.000000"/>
    <numFmt numFmtId="181" formatCode="#,##0.0000"/>
    <numFmt numFmtId="182" formatCode="#,##0.000000"/>
    <numFmt numFmtId="183" formatCode="0.0000000"/>
    <numFmt numFmtId="184" formatCode="#,##0.00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3"/>
      <name val="Arial Cyr"/>
      <family val="2"/>
    </font>
    <font>
      <sz val="9"/>
      <name val="Arial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"/>
      <color indexed="8"/>
      <name val="Calibri Light"/>
      <family val="2"/>
    </font>
    <font>
      <sz val="12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>
      <alignment/>
      <protection/>
    </xf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4" fillId="5" borderId="1" applyNumberFormat="0" applyAlignment="0" applyProtection="0"/>
    <xf numFmtId="0" fontId="5" fillId="13" borderId="2" applyNumberFormat="0" applyAlignment="0" applyProtection="0"/>
    <xf numFmtId="0" fontId="6" fillId="13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2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3" fillId="0" borderId="0" xfId="75" applyNumberFormat="1" applyFont="1" applyAlignment="1">
      <alignment horizontal="center" vertical="center"/>
      <protection/>
    </xf>
    <xf numFmtId="0" fontId="3" fillId="0" borderId="0" xfId="75" applyNumberFormat="1" applyFont="1" applyAlignment="1">
      <alignment horizontal="left" vertical="center" wrapText="1"/>
      <protection/>
    </xf>
    <xf numFmtId="0" fontId="3" fillId="0" borderId="0" xfId="75" applyNumberFormat="1" applyFont="1" applyAlignment="1">
      <alignment horizontal="right" vertical="center"/>
      <protection/>
    </xf>
    <xf numFmtId="0" fontId="3" fillId="0" borderId="0" xfId="75" applyFont="1" applyAlignment="1">
      <alignment horizontal="right" vertical="center"/>
      <protection/>
    </xf>
    <xf numFmtId="0" fontId="3" fillId="0" borderId="0" xfId="75" applyFont="1" applyAlignment="1">
      <alignment horizontal="center" vertical="center"/>
      <protection/>
    </xf>
    <xf numFmtId="9" fontId="3" fillId="0" borderId="0" xfId="75" applyNumberFormat="1" applyFont="1" applyAlignment="1">
      <alignment horizontal="center" vertical="center"/>
      <protection/>
    </xf>
    <xf numFmtId="0" fontId="3" fillId="0" borderId="0" xfId="75" applyFont="1">
      <alignment/>
      <protection/>
    </xf>
    <xf numFmtId="0" fontId="21" fillId="0" borderId="0" xfId="51" applyFont="1" applyFill="1" applyAlignment="1">
      <alignment horizontal="center" vertical="center"/>
      <protection/>
    </xf>
    <xf numFmtId="0" fontId="22" fillId="0" borderId="0" xfId="75" applyNumberFormat="1" applyFont="1" applyAlignment="1">
      <alignment horizontal="center" vertical="center"/>
      <protection/>
    </xf>
    <xf numFmtId="0" fontId="3" fillId="0" borderId="0" xfId="75" applyFont="1" applyAlignment="1">
      <alignment horizontal="center"/>
      <protection/>
    </xf>
    <xf numFmtId="0" fontId="22" fillId="0" borderId="0" xfId="75" applyFont="1" applyAlignment="1">
      <alignment horizontal="right" vertical="center"/>
      <protection/>
    </xf>
    <xf numFmtId="0" fontId="23" fillId="0" borderId="0" xfId="75" applyNumberFormat="1" applyFont="1" applyFill="1" applyAlignment="1">
      <alignment horizontal="center" vertical="center" wrapText="1"/>
      <protection/>
    </xf>
    <xf numFmtId="0" fontId="23" fillId="0" borderId="0" xfId="75" applyNumberFormat="1" applyFont="1" applyFill="1" applyAlignment="1">
      <alignment horizontal="left" vertical="center" wrapText="1"/>
      <protection/>
    </xf>
    <xf numFmtId="0" fontId="23" fillId="0" borderId="0" xfId="75" applyFont="1" applyFill="1" applyAlignment="1">
      <alignment horizontal="right" vertical="center" wrapText="1"/>
      <protection/>
    </xf>
    <xf numFmtId="0" fontId="23" fillId="0" borderId="0" xfId="75" applyFont="1" applyFill="1" applyAlignment="1">
      <alignment horizontal="center" vertical="center" wrapText="1"/>
      <protection/>
    </xf>
    <xf numFmtId="0" fontId="25" fillId="0" borderId="0" xfId="79" applyNumberFormat="1" applyFont="1" applyAlignment="1">
      <alignment horizontal="center" vertical="center"/>
      <protection/>
    </xf>
    <xf numFmtId="0" fontId="26" fillId="0" borderId="0" xfId="75" applyFont="1" applyFill="1" applyAlignment="1">
      <alignment horizontal="left" vertical="center" wrapText="1"/>
      <protection/>
    </xf>
    <xf numFmtId="0" fontId="25" fillId="0" borderId="0" xfId="79" applyFont="1" applyAlignment="1">
      <alignment horizontal="right" vertical="center"/>
      <protection/>
    </xf>
    <xf numFmtId="0" fontId="25" fillId="0" borderId="0" xfId="79" applyFont="1" applyAlignment="1">
      <alignment horizontal="center" vertical="center"/>
      <protection/>
    </xf>
    <xf numFmtId="172" fontId="3" fillId="0" borderId="0" xfId="75" applyNumberFormat="1" applyFont="1" applyAlignment="1">
      <alignment horizontal="right" vertical="center"/>
      <protection/>
    </xf>
    <xf numFmtId="0" fontId="28" fillId="0" borderId="0" xfId="75" applyNumberFormat="1" applyFont="1" applyFill="1" applyAlignment="1">
      <alignment horizontal="center" vertical="center"/>
      <protection/>
    </xf>
    <xf numFmtId="0" fontId="3" fillId="0" borderId="0" xfId="75" applyNumberFormat="1" applyFont="1" applyFill="1" applyAlignment="1">
      <alignment horizontal="left" vertical="center" wrapText="1"/>
      <protection/>
    </xf>
    <xf numFmtId="0" fontId="3" fillId="0" borderId="0" xfId="75" applyNumberFormat="1" applyFont="1" applyFill="1" applyAlignment="1">
      <alignment horizontal="center" vertical="center"/>
      <protection/>
    </xf>
    <xf numFmtId="0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right" vertical="center"/>
      <protection/>
    </xf>
    <xf numFmtId="173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center" vertical="center"/>
      <protection/>
    </xf>
    <xf numFmtId="9" fontId="3" fillId="0" borderId="0" xfId="75" applyNumberFormat="1" applyFont="1" applyFill="1" applyAlignment="1">
      <alignment horizontal="center" vertical="center"/>
      <protection/>
    </xf>
    <xf numFmtId="0" fontId="28" fillId="0" borderId="10" xfId="75" applyNumberFormat="1" applyFont="1" applyFill="1" applyBorder="1" applyAlignment="1">
      <alignment horizontal="center" vertical="center" wrapText="1"/>
      <protection/>
    </xf>
    <xf numFmtId="0" fontId="28" fillId="0" borderId="10" xfId="75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textRotation="90" wrapText="1"/>
      <protection/>
    </xf>
    <xf numFmtId="0" fontId="29" fillId="0" borderId="10" xfId="74" applyFont="1" applyFill="1" applyBorder="1" applyAlignment="1">
      <alignment horizontal="center" vertical="center" wrapText="1"/>
      <protection/>
    </xf>
    <xf numFmtId="0" fontId="30" fillId="0" borderId="10" xfId="74" applyFont="1" applyFill="1" applyBorder="1" applyAlignment="1">
      <alignment horizontal="left" vertical="center" wrapText="1"/>
      <protection/>
    </xf>
    <xf numFmtId="174" fontId="31" fillId="0" borderId="10" xfId="72" applyNumberFormat="1" applyFont="1" applyFill="1" applyBorder="1" applyAlignment="1">
      <alignment horizontal="center" vertical="center"/>
      <protection/>
    </xf>
    <xf numFmtId="173" fontId="32" fillId="0" borderId="10" xfId="75" applyNumberFormat="1" applyFont="1" applyFill="1" applyBorder="1" applyAlignment="1">
      <alignment horizontal="center" vertical="center" wrapText="1"/>
      <protection/>
    </xf>
    <xf numFmtId="173" fontId="33" fillId="0" borderId="10" xfId="75" applyNumberFormat="1" applyFont="1" applyFill="1" applyBorder="1" applyAlignment="1">
      <alignment horizontal="center" vertical="center" wrapText="1"/>
      <protection/>
    </xf>
    <xf numFmtId="10" fontId="33" fillId="0" borderId="10" xfId="75" applyNumberFormat="1" applyFont="1" applyFill="1" applyBorder="1" applyAlignment="1">
      <alignment horizontal="center" vertical="center" wrapText="1"/>
      <protection/>
    </xf>
    <xf numFmtId="0" fontId="31" fillId="0" borderId="10" xfId="75" applyNumberFormat="1" applyFont="1" applyFill="1" applyBorder="1" applyAlignment="1">
      <alignment horizontal="center" vertical="center" wrapText="1"/>
      <protection/>
    </xf>
    <xf numFmtId="175" fontId="3" fillId="0" borderId="0" xfId="75" applyNumberFormat="1" applyFont="1" applyFill="1">
      <alignment/>
      <protection/>
    </xf>
    <xf numFmtId="173" fontId="3" fillId="0" borderId="0" xfId="75" applyNumberFormat="1" applyFont="1" applyFill="1">
      <alignment/>
      <protection/>
    </xf>
    <xf numFmtId="0" fontId="3" fillId="0" borderId="0" xfId="75" applyFont="1" applyFill="1">
      <alignment/>
      <protection/>
    </xf>
    <xf numFmtId="173" fontId="34" fillId="0" borderId="10" xfId="75" applyNumberFormat="1" applyFont="1" applyBorder="1" applyAlignment="1">
      <alignment horizontal="center" vertical="center"/>
      <protection/>
    </xf>
    <xf numFmtId="173" fontId="31" fillId="0" borderId="10" xfId="75" applyNumberFormat="1" applyFont="1" applyBorder="1" applyAlignment="1">
      <alignment horizontal="center" vertical="center"/>
      <protection/>
    </xf>
    <xf numFmtId="173" fontId="3" fillId="0" borderId="0" xfId="75" applyNumberFormat="1" applyFont="1">
      <alignment/>
      <protection/>
    </xf>
    <xf numFmtId="49" fontId="29" fillId="0" borderId="10" xfId="74" applyNumberFormat="1" applyFont="1" applyFill="1" applyBorder="1" applyAlignment="1">
      <alignment horizontal="center" vertical="center" wrapText="1"/>
      <protection/>
    </xf>
    <xf numFmtId="0" fontId="35" fillId="0" borderId="10" xfId="74" applyFont="1" applyFill="1" applyBorder="1" applyAlignment="1">
      <alignment horizontal="left" vertical="center" wrapText="1"/>
      <protection/>
    </xf>
    <xf numFmtId="173" fontId="31" fillId="0" borderId="10" xfId="75" applyNumberFormat="1" applyFont="1" applyFill="1" applyBorder="1" applyAlignment="1">
      <alignment horizontal="center" vertical="center"/>
      <protection/>
    </xf>
    <xf numFmtId="173" fontId="31" fillId="0" borderId="10" xfId="75" applyNumberFormat="1" applyFont="1" applyFill="1" applyBorder="1" applyAlignment="1">
      <alignment horizontal="center" vertical="center" wrapText="1"/>
      <protection/>
    </xf>
    <xf numFmtId="49" fontId="24" fillId="0" borderId="10" xfId="74" applyNumberFormat="1" applyFont="1" applyFill="1" applyBorder="1" applyAlignment="1">
      <alignment horizontal="center" vertical="center" wrapText="1"/>
      <protection/>
    </xf>
    <xf numFmtId="174" fontId="33" fillId="0" borderId="10" xfId="72" applyNumberFormat="1" applyFont="1" applyFill="1" applyBorder="1" applyAlignment="1">
      <alignment horizontal="center" vertical="center"/>
      <protection/>
    </xf>
    <xf numFmtId="0" fontId="33" fillId="0" borderId="10" xfId="75" applyNumberFormat="1" applyFont="1" applyFill="1" applyBorder="1" applyAlignment="1">
      <alignment horizontal="center" vertical="center" wrapText="1"/>
      <protection/>
    </xf>
    <xf numFmtId="176" fontId="28" fillId="0" borderId="0" xfId="75" applyNumberFormat="1" applyFont="1" applyFill="1">
      <alignment/>
      <protection/>
    </xf>
    <xf numFmtId="0" fontId="28" fillId="0" borderId="0" xfId="75" applyFont="1" applyFill="1">
      <alignment/>
      <protection/>
    </xf>
    <xf numFmtId="173" fontId="28" fillId="0" borderId="0" xfId="75" applyNumberFormat="1" applyFont="1" applyFill="1">
      <alignment/>
      <protection/>
    </xf>
    <xf numFmtId="177" fontId="29" fillId="0" borderId="10" xfId="74" applyNumberFormat="1" applyFont="1" applyFill="1" applyBorder="1" applyAlignment="1">
      <alignment horizontal="center" vertical="center" wrapText="1"/>
      <protection/>
    </xf>
    <xf numFmtId="4" fontId="31" fillId="0" borderId="10" xfId="75" applyNumberFormat="1" applyFont="1" applyBorder="1" applyAlignment="1">
      <alignment horizontal="center" vertical="center"/>
      <protection/>
    </xf>
    <xf numFmtId="173" fontId="34" fillId="0" borderId="10" xfId="75" applyNumberFormat="1" applyFont="1" applyFill="1" applyBorder="1" applyAlignment="1">
      <alignment horizontal="center" vertical="center"/>
      <protection/>
    </xf>
    <xf numFmtId="173" fontId="33" fillId="0" borderId="10" xfId="75" applyNumberFormat="1" applyFont="1" applyFill="1" applyBorder="1" applyAlignment="1">
      <alignment horizontal="center" vertical="center"/>
      <protection/>
    </xf>
    <xf numFmtId="10" fontId="31" fillId="0" borderId="10" xfId="75" applyNumberFormat="1" applyFont="1" applyFill="1" applyBorder="1" applyAlignment="1">
      <alignment horizontal="center" vertical="center" wrapText="1"/>
      <protection/>
    </xf>
    <xf numFmtId="173" fontId="31" fillId="0" borderId="10" xfId="75" applyNumberFormat="1" applyFont="1" applyBorder="1" applyAlignment="1">
      <alignment horizontal="right" vertical="center"/>
      <protection/>
    </xf>
    <xf numFmtId="0" fontId="31" fillId="0" borderId="10" xfId="74" applyFont="1" applyFill="1" applyBorder="1" applyAlignment="1">
      <alignment horizontal="left" vertical="center" wrapText="1"/>
      <protection/>
    </xf>
    <xf numFmtId="4" fontId="31" fillId="0" borderId="11" xfId="75" applyNumberFormat="1" applyFont="1" applyBorder="1" applyAlignment="1">
      <alignment horizontal="center" vertical="center"/>
      <protection/>
    </xf>
    <xf numFmtId="173" fontId="33" fillId="0" borderId="10" xfId="75" applyNumberFormat="1" applyFont="1" applyBorder="1" applyAlignment="1">
      <alignment horizontal="center" vertical="center"/>
      <protection/>
    </xf>
    <xf numFmtId="4" fontId="31" fillId="0" borderId="11" xfId="75" applyNumberFormat="1" applyFont="1" applyFill="1" applyBorder="1" applyAlignment="1">
      <alignment horizontal="center" vertical="center"/>
      <protection/>
    </xf>
    <xf numFmtId="0" fontId="24" fillId="0" borderId="10" xfId="74" applyFont="1" applyFill="1" applyBorder="1" applyAlignment="1">
      <alignment horizontal="center" vertical="center" wrapText="1"/>
      <protection/>
    </xf>
    <xf numFmtId="173" fontId="28" fillId="0" borderId="0" xfId="75" applyNumberFormat="1" applyFont="1">
      <alignment/>
      <protection/>
    </xf>
    <xf numFmtId="0" fontId="28" fillId="0" borderId="0" xfId="75" applyFont="1">
      <alignment/>
      <protection/>
    </xf>
    <xf numFmtId="49" fontId="29" fillId="0" borderId="11" xfId="74" applyNumberFormat="1" applyFont="1" applyFill="1" applyBorder="1" applyAlignment="1">
      <alignment horizontal="center" vertical="center" wrapText="1"/>
      <protection/>
    </xf>
    <xf numFmtId="0" fontId="35" fillId="0" borderId="11" xfId="74" applyFont="1" applyFill="1" applyBorder="1" applyAlignment="1">
      <alignment horizontal="left" vertical="center" wrapText="1"/>
      <protection/>
    </xf>
    <xf numFmtId="174" fontId="31" fillId="0" borderId="11" xfId="72" applyNumberFormat="1" applyFont="1" applyFill="1" applyBorder="1" applyAlignment="1">
      <alignment horizontal="center" vertical="center"/>
      <protection/>
    </xf>
    <xf numFmtId="173" fontId="31" fillId="0" borderId="11" xfId="75" applyNumberFormat="1" applyFont="1" applyBorder="1" applyAlignment="1">
      <alignment horizontal="center" vertical="center"/>
      <protection/>
    </xf>
    <xf numFmtId="173" fontId="31" fillId="0" borderId="11" xfId="75" applyNumberFormat="1" applyFont="1" applyFill="1" applyBorder="1" applyAlignment="1">
      <alignment horizontal="center" vertical="center" wrapText="1"/>
      <protection/>
    </xf>
    <xf numFmtId="173" fontId="31" fillId="0" borderId="11" xfId="75" applyNumberFormat="1" applyFont="1" applyFill="1" applyBorder="1" applyAlignment="1">
      <alignment horizontal="center" vertical="center"/>
      <protection/>
    </xf>
    <xf numFmtId="10" fontId="31" fillId="0" borderId="11" xfId="75" applyNumberFormat="1" applyFont="1" applyFill="1" applyBorder="1" applyAlignment="1">
      <alignment horizontal="center" vertical="center" wrapText="1"/>
      <protection/>
    </xf>
    <xf numFmtId="0" fontId="31" fillId="0" borderId="11" xfId="75" applyNumberFormat="1" applyFont="1" applyFill="1" applyBorder="1" applyAlignment="1">
      <alignment horizontal="center" vertical="center" wrapText="1"/>
      <protection/>
    </xf>
    <xf numFmtId="0" fontId="31" fillId="0" borderId="10" xfId="75" applyNumberFormat="1" applyFont="1" applyBorder="1" applyAlignment="1">
      <alignment horizontal="left" vertical="center" wrapText="1"/>
      <protection/>
    </xf>
    <xf numFmtId="0" fontId="31" fillId="0" borderId="10" xfId="75" applyNumberFormat="1" applyFont="1" applyBorder="1" applyAlignment="1">
      <alignment horizontal="center" vertical="center"/>
      <protection/>
    </xf>
    <xf numFmtId="0" fontId="31" fillId="0" borderId="10" xfId="75" applyNumberFormat="1" applyFont="1" applyBorder="1" applyAlignment="1">
      <alignment horizontal="right" vertical="center"/>
      <protection/>
    </xf>
    <xf numFmtId="175" fontId="31" fillId="0" borderId="10" xfId="75" applyNumberFormat="1" applyFont="1" applyBorder="1" applyAlignment="1">
      <alignment horizontal="right" vertical="center"/>
      <protection/>
    </xf>
    <xf numFmtId="9" fontId="31" fillId="0" borderId="10" xfId="75" applyNumberFormat="1" applyFont="1" applyBorder="1" applyAlignment="1">
      <alignment horizontal="center" vertical="center"/>
      <protection/>
    </xf>
    <xf numFmtId="0" fontId="31" fillId="0" borderId="10" xfId="75" applyFont="1" applyBorder="1" applyAlignment="1">
      <alignment horizontal="right" vertical="center"/>
      <protection/>
    </xf>
    <xf numFmtId="175" fontId="3" fillId="0" borderId="0" xfId="75" applyNumberFormat="1" applyFont="1" applyAlignment="1">
      <alignment horizontal="center" vertical="center"/>
      <protection/>
    </xf>
    <xf numFmtId="175" fontId="3" fillId="0" borderId="0" xfId="75" applyNumberFormat="1" applyFont="1" applyAlignment="1">
      <alignment horizontal="right" vertical="center"/>
      <protection/>
    </xf>
    <xf numFmtId="175" fontId="36" fillId="0" borderId="0" xfId="75" applyNumberFormat="1" applyFont="1" applyAlignment="1">
      <alignment horizontal="right" vertical="center"/>
      <protection/>
    </xf>
    <xf numFmtId="178" fontId="3" fillId="0" borderId="0" xfId="75" applyNumberFormat="1" applyFont="1" applyAlignment="1">
      <alignment horizontal="center" vertical="center"/>
      <protection/>
    </xf>
    <xf numFmtId="4" fontId="3" fillId="0" borderId="0" xfId="75" applyNumberFormat="1" applyFont="1" applyAlignment="1">
      <alignment horizontal="right" vertical="center"/>
      <protection/>
    </xf>
    <xf numFmtId="179" fontId="3" fillId="0" borderId="0" xfId="75" applyNumberFormat="1" applyFont="1" applyAlignment="1">
      <alignment horizontal="right" vertical="center"/>
      <protection/>
    </xf>
    <xf numFmtId="180" fontId="3" fillId="0" borderId="0" xfId="75" applyNumberFormat="1" applyFont="1" applyAlignment="1">
      <alignment horizontal="right" vertical="center"/>
      <protection/>
    </xf>
    <xf numFmtId="173" fontId="3" fillId="0" borderId="0" xfId="75" applyNumberFormat="1" applyFont="1" applyAlignment="1">
      <alignment horizontal="right" vertical="center"/>
      <protection/>
    </xf>
    <xf numFmtId="0" fontId="21" fillId="0" borderId="0" xfId="51" applyFont="1" applyFill="1">
      <alignment/>
      <protection/>
    </xf>
    <xf numFmtId="0" fontId="25" fillId="0" borderId="0" xfId="79" applyNumberFormat="1" applyFont="1" applyAlignment="1">
      <alignment horizontal="left" vertical="center" wrapText="1"/>
      <protection/>
    </xf>
    <xf numFmtId="0" fontId="28" fillId="0" borderId="10" xfId="75" applyFont="1" applyFill="1" applyBorder="1" applyAlignment="1">
      <alignment horizontal="center" vertical="center" textRotation="90" wrapText="1"/>
      <protection/>
    </xf>
    <xf numFmtId="0" fontId="35" fillId="0" borderId="10" xfId="74" applyFont="1" applyFill="1" applyBorder="1" applyAlignment="1">
      <alignment horizontal="center" vertical="center" wrapText="1"/>
      <protection/>
    </xf>
    <xf numFmtId="16" fontId="35" fillId="0" borderId="10" xfId="74" applyNumberFormat="1" applyFont="1" applyFill="1" applyBorder="1" applyAlignment="1">
      <alignment horizontal="center" vertical="center" wrapText="1"/>
      <protection/>
    </xf>
    <xf numFmtId="49" fontId="35" fillId="0" borderId="10" xfId="74" applyNumberFormat="1" applyFont="1" applyFill="1" applyBorder="1" applyAlignment="1">
      <alignment horizontal="center" vertical="center" wrapText="1"/>
      <protection/>
    </xf>
    <xf numFmtId="173" fontId="31" fillId="0" borderId="12" xfId="75" applyNumberFormat="1" applyFont="1" applyBorder="1" applyAlignment="1">
      <alignment horizontal="center" vertical="center"/>
      <protection/>
    </xf>
    <xf numFmtId="0" fontId="3" fillId="0" borderId="0" xfId="75" applyFont="1" applyBorder="1">
      <alignment/>
      <protection/>
    </xf>
    <xf numFmtId="49" fontId="35" fillId="0" borderId="12" xfId="74" applyNumberFormat="1" applyFont="1" applyFill="1" applyBorder="1" applyAlignment="1">
      <alignment horizontal="center" vertical="center" wrapText="1"/>
      <protection/>
    </xf>
    <xf numFmtId="173" fontId="3" fillId="0" borderId="0" xfId="75" applyNumberFormat="1" applyFont="1" applyBorder="1" applyAlignment="1">
      <alignment horizontal="center" vertical="center"/>
      <protection/>
    </xf>
    <xf numFmtId="0" fontId="31" fillId="0" borderId="10" xfId="80" applyFont="1" applyFill="1" applyBorder="1" applyAlignment="1">
      <alignment wrapText="1"/>
      <protection/>
    </xf>
    <xf numFmtId="49" fontId="30" fillId="0" borderId="10" xfId="74" applyNumberFormat="1" applyFont="1" applyFill="1" applyBorder="1" applyAlignment="1">
      <alignment horizontal="center" vertical="center" wrapText="1"/>
      <protection/>
    </xf>
    <xf numFmtId="0" fontId="30" fillId="0" borderId="13" xfId="74" applyFont="1" applyFill="1" applyBorder="1" applyAlignment="1">
      <alignment horizontal="left" vertical="center" wrapText="1"/>
      <protection/>
    </xf>
    <xf numFmtId="0" fontId="31" fillId="0" borderId="13" xfId="75" applyNumberFormat="1" applyFont="1" applyBorder="1" applyAlignment="1">
      <alignment horizontal="center" vertical="center"/>
      <protection/>
    </xf>
    <xf numFmtId="173" fontId="33" fillId="0" borderId="13" xfId="75" applyNumberFormat="1" applyFont="1" applyBorder="1" applyAlignment="1">
      <alignment horizontal="center" vertical="center"/>
      <protection/>
    </xf>
    <xf numFmtId="177" fontId="30" fillId="0" borderId="10" xfId="74" applyNumberFormat="1" applyFont="1" applyFill="1" applyBorder="1" applyAlignment="1">
      <alignment horizontal="center" vertical="center" wrapText="1"/>
      <protection/>
    </xf>
    <xf numFmtId="177" fontId="35" fillId="0" borderId="10" xfId="74" applyNumberFormat="1" applyFont="1" applyFill="1" applyBorder="1" applyAlignment="1">
      <alignment horizontal="center" vertical="center" wrapText="1"/>
      <protection/>
    </xf>
    <xf numFmtId="173" fontId="31" fillId="0" borderId="13" xfId="75" applyNumberFormat="1" applyFont="1" applyBorder="1" applyAlignment="1">
      <alignment horizontal="center" vertical="center"/>
      <protection/>
    </xf>
    <xf numFmtId="173" fontId="31" fillId="0" borderId="13" xfId="75" applyNumberFormat="1" applyFont="1" applyFill="1" applyBorder="1" applyAlignment="1">
      <alignment horizontal="center" vertical="center"/>
      <protection/>
    </xf>
    <xf numFmtId="0" fontId="31" fillId="0" borderId="10" xfId="75" applyNumberFormat="1" applyFont="1" applyFill="1" applyBorder="1" applyAlignment="1">
      <alignment horizontal="center" vertical="center"/>
      <protection/>
    </xf>
    <xf numFmtId="0" fontId="31" fillId="0" borderId="13" xfId="75" applyNumberFormat="1" applyFont="1" applyFill="1" applyBorder="1" applyAlignment="1">
      <alignment horizontal="center" vertical="center"/>
      <protection/>
    </xf>
    <xf numFmtId="0" fontId="30" fillId="0" borderId="10" xfId="74" applyFont="1" applyFill="1" applyBorder="1" applyAlignment="1">
      <alignment horizontal="center" vertical="center" wrapText="1"/>
      <protection/>
    </xf>
    <xf numFmtId="0" fontId="30" fillId="0" borderId="14" xfId="74" applyFont="1" applyFill="1" applyBorder="1" applyAlignment="1">
      <alignment horizontal="left" vertical="center" wrapText="1"/>
      <protection/>
    </xf>
    <xf numFmtId="173" fontId="33" fillId="0" borderId="15" xfId="75" applyNumberFormat="1" applyFont="1" applyBorder="1" applyAlignment="1">
      <alignment horizontal="center" vertical="center"/>
      <protection/>
    </xf>
    <xf numFmtId="0" fontId="35" fillId="0" borderId="12" xfId="74" applyFont="1" applyFill="1" applyBorder="1" applyAlignment="1">
      <alignment horizontal="left" vertical="center" wrapText="1"/>
      <protection/>
    </xf>
    <xf numFmtId="173" fontId="38" fillId="0" borderId="10" xfId="0" applyNumberFormat="1" applyFont="1" applyFill="1" applyBorder="1" applyAlignment="1">
      <alignment horizontal="center" vertical="center"/>
    </xf>
    <xf numFmtId="173" fontId="38" fillId="0" borderId="12" xfId="0" applyNumberFormat="1" applyFont="1" applyFill="1" applyBorder="1" applyAlignment="1">
      <alignment horizontal="center" vertical="center"/>
    </xf>
    <xf numFmtId="0" fontId="35" fillId="0" borderId="16" xfId="74" applyFont="1" applyFill="1" applyBorder="1" applyAlignment="1">
      <alignment horizontal="left" vertical="center" wrapText="1"/>
      <protection/>
    </xf>
    <xf numFmtId="0" fontId="31" fillId="0" borderId="11" xfId="75" applyNumberFormat="1" applyFont="1" applyBorder="1" applyAlignment="1">
      <alignment horizontal="center" vertical="center"/>
      <protection/>
    </xf>
    <xf numFmtId="173" fontId="31" fillId="0" borderId="16" xfId="75" applyNumberFormat="1" applyFont="1" applyBorder="1" applyAlignment="1">
      <alignment horizontal="center" vertical="center"/>
      <protection/>
    </xf>
    <xf numFmtId="0" fontId="35" fillId="0" borderId="12" xfId="74" applyFont="1" applyFill="1" applyBorder="1" applyAlignment="1">
      <alignment horizontal="center" vertical="center" wrapText="1"/>
      <protection/>
    </xf>
    <xf numFmtId="173" fontId="31" fillId="0" borderId="17" xfId="75" applyNumberFormat="1" applyFont="1" applyBorder="1" applyAlignment="1">
      <alignment horizontal="center" vertical="center"/>
      <protection/>
    </xf>
    <xf numFmtId="0" fontId="31" fillId="0" borderId="10" xfId="75" applyNumberFormat="1" applyFont="1" applyFill="1" applyBorder="1" applyAlignment="1">
      <alignment horizontal="left" vertical="center" wrapText="1"/>
      <protection/>
    </xf>
    <xf numFmtId="0" fontId="28" fillId="0" borderId="0" xfId="75" applyFont="1" applyAlignment="1">
      <alignment horizontal="right" vertical="center"/>
      <protection/>
    </xf>
    <xf numFmtId="2" fontId="3" fillId="0" borderId="0" xfId="75" applyNumberFormat="1" applyFont="1" applyAlignment="1">
      <alignment horizontal="right" vertical="center"/>
      <protection/>
    </xf>
    <xf numFmtId="1" fontId="3" fillId="0" borderId="0" xfId="75" applyNumberFormat="1" applyFont="1">
      <alignment/>
      <protection/>
    </xf>
    <xf numFmtId="0" fontId="25" fillId="0" borderId="0" xfId="79" applyFont="1" applyAlignment="1">
      <alignment vertical="center"/>
      <protection/>
    </xf>
    <xf numFmtId="0" fontId="28" fillId="0" borderId="0" xfId="75" applyFont="1" applyFill="1" applyAlignment="1">
      <alignment/>
      <protection/>
    </xf>
    <xf numFmtId="0" fontId="3" fillId="0" borderId="10" xfId="75" applyFont="1" applyFill="1" applyBorder="1" applyAlignment="1">
      <alignment horizontal="center" vertical="center" textRotation="90" wrapText="1"/>
      <protection/>
    </xf>
    <xf numFmtId="9" fontId="3" fillId="0" borderId="10" xfId="75" applyNumberFormat="1" applyFont="1" applyFill="1" applyBorder="1" applyAlignment="1">
      <alignment horizontal="center" vertical="center" textRotation="90" wrapText="1"/>
      <protection/>
    </xf>
    <xf numFmtId="4" fontId="3" fillId="0" borderId="0" xfId="75" applyNumberFormat="1" applyFont="1">
      <alignment/>
      <protection/>
    </xf>
    <xf numFmtId="4" fontId="33" fillId="0" borderId="10" xfId="75" applyNumberFormat="1" applyFont="1" applyFill="1" applyBorder="1" applyAlignment="1">
      <alignment horizontal="center" vertical="center" wrapText="1"/>
      <protection/>
    </xf>
    <xf numFmtId="4" fontId="31" fillId="0" borderId="10" xfId="75" applyNumberFormat="1" applyFont="1" applyFill="1" applyBorder="1" applyAlignment="1">
      <alignment horizontal="center" vertical="center" wrapText="1"/>
      <protection/>
    </xf>
    <xf numFmtId="4" fontId="31" fillId="0" borderId="10" xfId="75" applyNumberFormat="1" applyFont="1" applyFill="1" applyBorder="1" applyAlignment="1">
      <alignment horizontal="center" vertical="center"/>
      <protection/>
    </xf>
    <xf numFmtId="4" fontId="33" fillId="0" borderId="10" xfId="75" applyNumberFormat="1" applyFont="1" applyFill="1" applyBorder="1" applyAlignment="1">
      <alignment horizontal="center" vertical="center"/>
      <protection/>
    </xf>
    <xf numFmtId="16" fontId="29" fillId="0" borderId="10" xfId="74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/>
      <protection/>
    </xf>
    <xf numFmtId="177" fontId="24" fillId="0" borderId="10" xfId="74" applyNumberFormat="1" applyFont="1" applyFill="1" applyBorder="1" applyAlignment="1">
      <alignment horizontal="center" vertical="center" wrapText="1"/>
      <protection/>
    </xf>
    <xf numFmtId="173" fontId="3" fillId="7" borderId="10" xfId="75" applyNumberFormat="1" applyFont="1" applyFill="1" applyBorder="1" applyAlignment="1">
      <alignment horizontal="center" vertical="center"/>
      <protection/>
    </xf>
    <xf numFmtId="4" fontId="33" fillId="0" borderId="11" xfId="75" applyNumberFormat="1" applyFont="1" applyFill="1" applyBorder="1" applyAlignment="1">
      <alignment horizontal="center" vertical="center"/>
      <protection/>
    </xf>
    <xf numFmtId="0" fontId="31" fillId="0" borderId="12" xfId="74" applyFont="1" applyFill="1" applyBorder="1" applyAlignment="1">
      <alignment horizontal="left" vertical="center" wrapText="1"/>
      <protection/>
    </xf>
    <xf numFmtId="0" fontId="31" fillId="0" borderId="11" xfId="75" applyNumberFormat="1" applyFont="1" applyFill="1" applyBorder="1" applyAlignment="1">
      <alignment horizontal="center" vertical="center"/>
      <protection/>
    </xf>
    <xf numFmtId="4" fontId="31" fillId="0" borderId="16" xfId="75" applyNumberFormat="1" applyFont="1" applyFill="1" applyBorder="1" applyAlignment="1">
      <alignment horizontal="center" vertical="center"/>
      <protection/>
    </xf>
    <xf numFmtId="4" fontId="31" fillId="0" borderId="0" xfId="75" applyNumberFormat="1" applyFont="1" applyFill="1" applyBorder="1" applyAlignment="1">
      <alignment horizontal="center" vertical="center"/>
      <protection/>
    </xf>
    <xf numFmtId="4" fontId="31" fillId="0" borderId="11" xfId="75" applyNumberFormat="1" applyFont="1" applyFill="1" applyBorder="1" applyAlignment="1">
      <alignment horizontal="center" vertical="center" wrapText="1"/>
      <protection/>
    </xf>
    <xf numFmtId="4" fontId="31" fillId="0" borderId="12" xfId="75" applyNumberFormat="1" applyFont="1" applyFill="1" applyBorder="1" applyAlignment="1">
      <alignment horizontal="center" vertical="center"/>
      <protection/>
    </xf>
    <xf numFmtId="0" fontId="24" fillId="0" borderId="13" xfId="74" applyFont="1" applyFill="1" applyBorder="1" applyAlignment="1">
      <alignment horizontal="center" vertical="center" wrapText="1"/>
      <protection/>
    </xf>
    <xf numFmtId="4" fontId="31" fillId="0" borderId="13" xfId="75" applyNumberFormat="1" applyFont="1" applyFill="1" applyBorder="1" applyAlignment="1">
      <alignment horizontal="center" vertical="center"/>
      <protection/>
    </xf>
    <xf numFmtId="4" fontId="31" fillId="0" borderId="15" xfId="75" applyNumberFormat="1" applyFont="1" applyFill="1" applyBorder="1" applyAlignment="1">
      <alignment horizontal="center" vertical="center"/>
      <protection/>
    </xf>
    <xf numFmtId="4" fontId="31" fillId="0" borderId="13" xfId="75" applyNumberFormat="1" applyFont="1" applyFill="1" applyBorder="1" applyAlignment="1">
      <alignment horizontal="center" vertical="center" wrapText="1"/>
      <protection/>
    </xf>
    <xf numFmtId="10" fontId="31" fillId="0" borderId="13" xfId="75" applyNumberFormat="1" applyFont="1" applyFill="1" applyBorder="1" applyAlignment="1">
      <alignment horizontal="center" vertical="center" wrapText="1"/>
      <protection/>
    </xf>
    <xf numFmtId="0" fontId="31" fillId="0" borderId="13" xfId="75" applyNumberFormat="1" applyFont="1" applyFill="1" applyBorder="1" applyAlignment="1">
      <alignment horizontal="center" vertical="center" wrapText="1"/>
      <protection/>
    </xf>
    <xf numFmtId="4" fontId="3" fillId="0" borderId="0" xfId="75" applyNumberFormat="1" applyFont="1" applyFill="1" applyBorder="1" applyAlignment="1">
      <alignment horizontal="center" vertical="center"/>
      <protection/>
    </xf>
    <xf numFmtId="179" fontId="3" fillId="0" borderId="0" xfId="75" applyNumberFormat="1" applyFont="1" applyAlignment="1">
      <alignment horizontal="center" vertical="center"/>
      <protection/>
    </xf>
    <xf numFmtId="4" fontId="3" fillId="0" borderId="0" xfId="75" applyNumberFormat="1" applyFont="1" applyAlignment="1">
      <alignment horizontal="center" vertical="center"/>
      <protection/>
    </xf>
    <xf numFmtId="0" fontId="3" fillId="0" borderId="0" xfId="75" applyFont="1" applyAlignment="1">
      <alignment vertical="center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28" fillId="0" borderId="10" xfId="75" applyNumberFormat="1" applyFont="1" applyBorder="1" applyAlignment="1">
      <alignment horizontal="center" vertical="center" wrapText="1"/>
      <protection/>
    </xf>
    <xf numFmtId="0" fontId="28" fillId="0" borderId="11" xfId="75" applyNumberFormat="1" applyFont="1" applyBorder="1" applyAlignment="1">
      <alignment horizontal="center" vertical="center"/>
      <protection/>
    </xf>
    <xf numFmtId="0" fontId="28" fillId="0" borderId="11" xfId="75" applyFont="1" applyBorder="1" applyAlignment="1">
      <alignment horizontal="center" vertical="center"/>
      <protection/>
    </xf>
    <xf numFmtId="0" fontId="24" fillId="0" borderId="12" xfId="74" applyFont="1" applyFill="1" applyBorder="1" applyAlignment="1">
      <alignment horizontal="left" vertical="center" wrapText="1"/>
      <protection/>
    </xf>
    <xf numFmtId="174" fontId="22" fillId="0" borderId="10" xfId="72" applyNumberFormat="1" applyFont="1" applyFill="1" applyBorder="1" applyAlignment="1">
      <alignment horizontal="center" vertical="center"/>
      <protection/>
    </xf>
    <xf numFmtId="173" fontId="28" fillId="0" borderId="10" xfId="75" applyNumberFormat="1" applyFont="1" applyFill="1" applyBorder="1" applyAlignment="1">
      <alignment horizontal="center" vertical="center" wrapText="1"/>
      <protection/>
    </xf>
    <xf numFmtId="0" fontId="24" fillId="0" borderId="10" xfId="74" applyFont="1" applyFill="1" applyBorder="1" applyAlignment="1">
      <alignment horizontal="left" vertical="center" wrapText="1"/>
      <protection/>
    </xf>
    <xf numFmtId="2" fontId="28" fillId="7" borderId="10" xfId="75" applyNumberFormat="1" applyFont="1" applyFill="1" applyBorder="1" applyAlignment="1">
      <alignment horizontal="center" vertical="center"/>
      <protection/>
    </xf>
    <xf numFmtId="0" fontId="3" fillId="7" borderId="0" xfId="75" applyFont="1" applyFill="1" applyAlignment="1">
      <alignment vertical="center"/>
      <protection/>
    </xf>
    <xf numFmtId="0" fontId="29" fillId="0" borderId="10" xfId="74" applyFont="1" applyFill="1" applyBorder="1" applyAlignment="1">
      <alignment horizontal="left" vertical="center" wrapText="1"/>
      <protection/>
    </xf>
    <xf numFmtId="2" fontId="3" fillId="0" borderId="10" xfId="75" applyNumberFormat="1" applyFont="1" applyBorder="1" applyAlignment="1">
      <alignment horizontal="center" vertical="center"/>
      <protection/>
    </xf>
    <xf numFmtId="175" fontId="3" fillId="0" borderId="10" xfId="75" applyNumberFormat="1" applyFont="1" applyBorder="1" applyAlignment="1">
      <alignment horizontal="center" vertical="center"/>
      <protection/>
    </xf>
    <xf numFmtId="2" fontId="3" fillId="7" borderId="10" xfId="75" applyNumberFormat="1" applyFont="1" applyFill="1" applyBorder="1" applyAlignment="1">
      <alignment horizontal="center" vertical="center"/>
      <protection/>
    </xf>
    <xf numFmtId="49" fontId="3" fillId="0" borderId="10" xfId="75" applyNumberFormat="1" applyFont="1" applyBorder="1" applyAlignment="1">
      <alignment horizontal="center" vertical="center"/>
      <protection/>
    </xf>
    <xf numFmtId="173" fontId="3" fillId="0" borderId="10" xfId="75" applyNumberFormat="1" applyFont="1" applyFill="1" applyBorder="1" applyAlignment="1">
      <alignment horizontal="center" vertical="center"/>
      <protection/>
    </xf>
    <xf numFmtId="0" fontId="29" fillId="0" borderId="12" xfId="74" applyFont="1" applyFill="1" applyBorder="1" applyAlignment="1">
      <alignment horizontal="left" vertical="center" wrapText="1"/>
      <protection/>
    </xf>
    <xf numFmtId="0" fontId="3" fillId="0" borderId="10" xfId="75" applyFont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24" fillId="7" borderId="12" xfId="74" applyFont="1" applyFill="1" applyBorder="1" applyAlignment="1">
      <alignment horizontal="left" vertical="center" wrapText="1"/>
      <protection/>
    </xf>
    <xf numFmtId="173" fontId="28" fillId="0" borderId="10" xfId="75" applyNumberFormat="1" applyFont="1" applyBorder="1" applyAlignment="1">
      <alignment horizontal="center" vertical="center"/>
      <protection/>
    </xf>
    <xf numFmtId="173" fontId="3" fillId="0" borderId="10" xfId="75" applyNumberFormat="1" applyFont="1" applyBorder="1" applyAlignment="1">
      <alignment horizontal="center" vertical="center"/>
      <protection/>
    </xf>
    <xf numFmtId="2" fontId="28" fillId="0" borderId="10" xfId="75" applyNumberFormat="1" applyFont="1" applyBorder="1" applyAlignment="1">
      <alignment horizontal="center" vertical="center"/>
      <protection/>
    </xf>
    <xf numFmtId="2" fontId="3" fillId="0" borderId="10" xfId="75" applyNumberFormat="1" applyFont="1" applyFill="1" applyBorder="1" applyAlignment="1">
      <alignment horizontal="center" vertical="center"/>
      <protection/>
    </xf>
    <xf numFmtId="173" fontId="28" fillId="0" borderId="13" xfId="75" applyNumberFormat="1" applyFont="1" applyBorder="1" applyAlignment="1">
      <alignment horizontal="center" vertical="center"/>
      <protection/>
    </xf>
    <xf numFmtId="178" fontId="3" fillId="0" borderId="10" xfId="75" applyNumberFormat="1" applyFont="1" applyFill="1" applyBorder="1" applyAlignment="1">
      <alignment horizontal="center" vertical="center"/>
      <protection/>
    </xf>
    <xf numFmtId="0" fontId="3" fillId="0" borderId="0" xfId="75" applyFont="1" applyFill="1" applyAlignment="1">
      <alignment vertical="center"/>
      <protection/>
    </xf>
    <xf numFmtId="0" fontId="3" fillId="0" borderId="10" xfId="75" applyNumberFormat="1" applyFont="1" applyBorder="1" applyAlignment="1">
      <alignment horizontal="left" vertical="center" wrapText="1"/>
      <protection/>
    </xf>
    <xf numFmtId="175" fontId="3" fillId="0" borderId="10" xfId="75" applyNumberFormat="1" applyFont="1" applyBorder="1" applyAlignment="1">
      <alignment horizontal="right" vertical="center"/>
      <protection/>
    </xf>
    <xf numFmtId="0" fontId="3" fillId="0" borderId="10" xfId="75" applyFont="1" applyBorder="1" applyAlignment="1">
      <alignment horizontal="right" vertical="center"/>
      <protection/>
    </xf>
    <xf numFmtId="0" fontId="40" fillId="0" borderId="0" xfId="75" applyNumberFormat="1" applyFont="1" applyAlignment="1">
      <alignment horizontal="left" vertical="center" wrapText="1"/>
      <protection/>
    </xf>
    <xf numFmtId="1" fontId="3" fillId="0" borderId="0" xfId="75" applyNumberFormat="1" applyFont="1" applyAlignment="1">
      <alignment horizontal="right" vertical="center"/>
      <protection/>
    </xf>
    <xf numFmtId="1" fontId="3" fillId="0" borderId="0" xfId="75" applyNumberFormat="1" applyFont="1" applyFill="1" applyAlignment="1">
      <alignment horizontal="right" vertical="center"/>
      <protection/>
    </xf>
    <xf numFmtId="0" fontId="22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center"/>
      <protection/>
    </xf>
    <xf numFmtId="0" fontId="41" fillId="0" borderId="0" xfId="75" applyNumberFormat="1" applyFont="1" applyFill="1" applyAlignment="1">
      <alignment horizontal="left" vertical="center" wrapText="1"/>
      <protection/>
    </xf>
    <xf numFmtId="0" fontId="42" fillId="0" borderId="0" xfId="79" applyNumberFormat="1" applyFont="1" applyAlignment="1">
      <alignment horizontal="left" vertical="center" wrapText="1"/>
      <protection/>
    </xf>
    <xf numFmtId="0" fontId="25" fillId="0" borderId="0" xfId="79" applyNumberFormat="1" applyFont="1" applyAlignment="1">
      <alignment horizontal="right" vertical="center"/>
      <protection/>
    </xf>
    <xf numFmtId="1" fontId="25" fillId="0" borderId="0" xfId="79" applyNumberFormat="1" applyFont="1" applyAlignment="1">
      <alignment horizontal="right" vertical="center"/>
      <protection/>
    </xf>
    <xf numFmtId="9" fontId="25" fillId="0" borderId="0" xfId="79" applyNumberFormat="1" applyFont="1" applyAlignment="1">
      <alignment horizontal="center" vertical="center"/>
      <protection/>
    </xf>
    <xf numFmtId="0" fontId="25" fillId="0" borderId="0" xfId="79" applyFont="1" applyFill="1" applyAlignment="1">
      <alignment horizontal="center" vertical="center"/>
      <protection/>
    </xf>
    <xf numFmtId="0" fontId="40" fillId="0" borderId="0" xfId="75" applyNumberFormat="1" applyFont="1" applyFill="1" applyAlignment="1">
      <alignment horizontal="left" vertical="center" wrapText="1"/>
      <protection/>
    </xf>
    <xf numFmtId="0" fontId="1" fillId="0" borderId="0" xfId="76" applyNumberFormat="1" applyFont="1" applyFill="1" applyBorder="1" applyAlignment="1">
      <alignment horizontal="right" vertical="center"/>
      <protection/>
    </xf>
    <xf numFmtId="173" fontId="1" fillId="0" borderId="0" xfId="76" applyNumberFormat="1" applyFont="1" applyFill="1" applyBorder="1" applyAlignment="1">
      <alignment horizontal="right" vertical="center"/>
      <protection/>
    </xf>
    <xf numFmtId="0" fontId="37" fillId="0" borderId="10" xfId="77" applyNumberFormat="1" applyFont="1" applyFill="1" applyBorder="1" applyAlignment="1">
      <alignment horizontal="center" vertical="center" wrapText="1"/>
      <protection/>
    </xf>
    <xf numFmtId="0" fontId="37" fillId="0" borderId="0" xfId="77" applyFont="1" applyFill="1" applyBorder="1" applyAlignment="1">
      <alignment vertical="center"/>
      <protection/>
    </xf>
    <xf numFmtId="0" fontId="3" fillId="0" borderId="10" xfId="73" applyNumberFormat="1" applyFont="1" applyFill="1" applyBorder="1" applyAlignment="1">
      <alignment horizontal="center" vertical="center" textRotation="90" wrapText="1"/>
      <protection/>
    </xf>
    <xf numFmtId="0" fontId="25" fillId="0" borderId="10" xfId="77" applyNumberFormat="1" applyFont="1" applyFill="1" applyBorder="1" applyAlignment="1">
      <alignment horizontal="center" vertical="center" textRotation="90" wrapText="1"/>
      <protection/>
    </xf>
    <xf numFmtId="1" fontId="28" fillId="0" borderId="11" xfId="75" applyNumberFormat="1" applyFont="1" applyFill="1" applyBorder="1" applyAlignment="1">
      <alignment horizontal="center" vertical="center" wrapText="1"/>
      <protection/>
    </xf>
    <xf numFmtId="9" fontId="28" fillId="0" borderId="11" xfId="75" applyNumberFormat="1" applyFont="1" applyFill="1" applyBorder="1" applyAlignment="1">
      <alignment horizontal="center" vertical="center" wrapText="1"/>
      <protection/>
    </xf>
    <xf numFmtId="0" fontId="28" fillId="0" borderId="11" xfId="75" applyFont="1" applyFill="1" applyBorder="1" applyAlignment="1">
      <alignment horizontal="center" vertical="center" wrapText="1"/>
      <protection/>
    </xf>
    <xf numFmtId="0" fontId="43" fillId="0" borderId="10" xfId="77" applyNumberFormat="1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vertical="center"/>
      <protection/>
    </xf>
    <xf numFmtId="173" fontId="3" fillId="0" borderId="10" xfId="73" applyNumberFormat="1" applyFont="1" applyFill="1" applyBorder="1" applyAlignment="1">
      <alignment horizontal="center" vertical="center" wrapText="1"/>
      <protection/>
    </xf>
    <xf numFmtId="10" fontId="3" fillId="0" borderId="10" xfId="73" applyNumberFormat="1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wrapText="1"/>
      <protection/>
    </xf>
    <xf numFmtId="173" fontId="3" fillId="0" borderId="0" xfId="73" applyNumberFormat="1" applyFont="1" applyAlignment="1">
      <alignment vertical="center"/>
      <protection/>
    </xf>
    <xf numFmtId="0" fontId="3" fillId="0" borderId="0" xfId="73" applyFont="1" applyAlignment="1">
      <alignment vertical="center"/>
      <protection/>
    </xf>
    <xf numFmtId="173" fontId="28" fillId="7" borderId="10" xfId="75" applyNumberFormat="1" applyFont="1" applyFill="1" applyBorder="1" applyAlignment="1">
      <alignment horizontal="center" vertical="center"/>
      <protection/>
    </xf>
    <xf numFmtId="173" fontId="28" fillId="0" borderId="10" xfId="75" applyNumberFormat="1" applyFont="1" applyFill="1" applyBorder="1" applyAlignment="1">
      <alignment horizontal="center" vertical="center"/>
      <protection/>
    </xf>
    <xf numFmtId="10" fontId="28" fillId="0" borderId="10" xfId="73" applyNumberFormat="1" applyFont="1" applyFill="1" applyBorder="1" applyAlignment="1">
      <alignment horizontal="center" vertical="center" wrapText="1"/>
      <protection/>
    </xf>
    <xf numFmtId="4" fontId="3" fillId="0" borderId="10" xfId="75" applyNumberFormat="1" applyFont="1" applyFill="1" applyBorder="1" applyAlignment="1">
      <alignment horizontal="center" vertical="center"/>
      <protection/>
    </xf>
    <xf numFmtId="0" fontId="24" fillId="0" borderId="0" xfId="74" applyFont="1" applyFill="1" applyBorder="1" applyAlignment="1">
      <alignment horizontal="center" vertical="center" wrapText="1"/>
      <protection/>
    </xf>
    <xf numFmtId="0" fontId="3" fillId="0" borderId="0" xfId="75" applyNumberFormat="1" applyFont="1" applyFill="1" applyBorder="1" applyAlignment="1">
      <alignment horizontal="center" vertical="center" wrapText="1"/>
      <protection/>
    </xf>
    <xf numFmtId="1" fontId="3" fillId="7" borderId="0" xfId="75" applyNumberFormat="1" applyFont="1" applyFill="1" applyAlignment="1">
      <alignment horizontal="right" vertical="center"/>
      <protection/>
    </xf>
    <xf numFmtId="0" fontId="28" fillId="0" borderId="0" xfId="75" applyNumberFormat="1" applyFont="1" applyFill="1" applyAlignment="1">
      <alignment horizontal="left" vertical="center" wrapText="1"/>
      <protection/>
    </xf>
    <xf numFmtId="0" fontId="25" fillId="0" borderId="0" xfId="79" applyFont="1" applyFill="1" applyAlignment="1">
      <alignment horizontal="right" vertical="center"/>
      <protection/>
    </xf>
    <xf numFmtId="1" fontId="1" fillId="0" borderId="0" xfId="76" applyNumberFormat="1" applyFont="1" applyFill="1" applyBorder="1" applyAlignment="1">
      <alignment horizontal="right" vertical="center"/>
      <protection/>
    </xf>
    <xf numFmtId="1" fontId="25" fillId="0" borderId="10" xfId="77" applyNumberFormat="1" applyFont="1" applyFill="1" applyBorder="1" applyAlignment="1">
      <alignment horizontal="center" vertical="center" textRotation="90" wrapText="1"/>
      <protection/>
    </xf>
    <xf numFmtId="1" fontId="3" fillId="0" borderId="10" xfId="73" applyNumberFormat="1" applyFont="1" applyFill="1" applyBorder="1" applyAlignment="1">
      <alignment horizontal="center" vertical="center" textRotation="90" wrapText="1"/>
      <protection/>
    </xf>
    <xf numFmtId="0" fontId="43" fillId="0" borderId="10" xfId="77" applyNumberFormat="1" applyFont="1" applyFill="1" applyBorder="1" applyAlignment="1">
      <alignment horizontal="center" vertical="center" wrapText="1"/>
      <protection/>
    </xf>
    <xf numFmtId="1" fontId="43" fillId="0" borderId="10" xfId="77" applyNumberFormat="1" applyFont="1" applyFill="1" applyBorder="1" applyAlignment="1">
      <alignment horizontal="center" vertical="center"/>
      <protection/>
    </xf>
    <xf numFmtId="0" fontId="25" fillId="0" borderId="10" xfId="74" applyFont="1" applyFill="1" applyBorder="1" applyAlignment="1">
      <alignment horizontal="left" vertical="center" wrapText="1"/>
      <protection/>
    </xf>
    <xf numFmtId="0" fontId="3" fillId="0" borderId="10" xfId="75" applyNumberFormat="1" applyFont="1" applyBorder="1" applyAlignment="1">
      <alignment horizontal="center" vertical="center"/>
      <protection/>
    </xf>
    <xf numFmtId="0" fontId="37" fillId="0" borderId="10" xfId="74" applyFont="1" applyFill="1" applyBorder="1" applyAlignment="1">
      <alignment horizontal="left" vertical="center" wrapText="1"/>
      <protection/>
    </xf>
    <xf numFmtId="0" fontId="3" fillId="0" borderId="10" xfId="75" applyNumberFormat="1" applyFont="1" applyFill="1" applyBorder="1" applyAlignment="1">
      <alignment horizontal="center" vertical="center"/>
      <protection/>
    </xf>
    <xf numFmtId="0" fontId="3" fillId="14" borderId="0" xfId="75" applyFont="1" applyFill="1">
      <alignment/>
      <protection/>
    </xf>
    <xf numFmtId="0" fontId="25" fillId="0" borderId="12" xfId="74" applyFont="1" applyFill="1" applyBorder="1" applyAlignment="1">
      <alignment horizontal="left" vertical="center" wrapText="1"/>
      <protection/>
    </xf>
    <xf numFmtId="0" fontId="37" fillId="0" borderId="12" xfId="74" applyFont="1" applyFill="1" applyBorder="1" applyAlignment="1">
      <alignment horizontal="left" vertical="center" wrapText="1"/>
      <protection/>
    </xf>
    <xf numFmtId="0" fontId="37" fillId="7" borderId="12" xfId="74" applyFont="1" applyFill="1" applyBorder="1" applyAlignment="1">
      <alignment horizontal="left" vertical="center" wrapText="1"/>
      <protection/>
    </xf>
    <xf numFmtId="0" fontId="3" fillId="0" borderId="10" xfId="74" applyFont="1" applyFill="1" applyBorder="1" applyAlignment="1">
      <alignment horizontal="left" vertical="center" wrapText="1"/>
      <protection/>
    </xf>
    <xf numFmtId="0" fontId="3" fillId="0" borderId="0" xfId="75" applyNumberFormat="1" applyFont="1" applyAlignment="1">
      <alignment horizontal="left" vertical="center"/>
      <protection/>
    </xf>
    <xf numFmtId="1" fontId="22" fillId="0" borderId="0" xfId="75" applyNumberFormat="1" applyFont="1" applyAlignment="1">
      <alignment horizontal="right" vertical="center"/>
      <protection/>
    </xf>
    <xf numFmtId="0" fontId="3" fillId="0" borderId="0" xfId="75" applyNumberFormat="1" applyFont="1" applyFill="1" applyAlignment="1">
      <alignment horizontal="left" vertical="center"/>
      <protection/>
    </xf>
    <xf numFmtId="1" fontId="3" fillId="0" borderId="0" xfId="75" applyNumberFormat="1" applyFont="1" applyFill="1" applyAlignment="1">
      <alignment vertical="center"/>
      <protection/>
    </xf>
    <xf numFmtId="4" fontId="3" fillId="0" borderId="10" xfId="73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Alignment="1">
      <alignment vertical="center"/>
      <protection/>
    </xf>
    <xf numFmtId="1" fontId="3" fillId="0" borderId="0" xfId="73" applyNumberFormat="1" applyFont="1" applyFill="1" applyAlignment="1">
      <alignment vertical="center"/>
      <protection/>
    </xf>
    <xf numFmtId="4" fontId="28" fillId="7" borderId="10" xfId="75" applyNumberFormat="1" applyFont="1" applyFill="1" applyBorder="1" applyAlignment="1">
      <alignment horizontal="center" vertical="center"/>
      <protection/>
    </xf>
    <xf numFmtId="0" fontId="28" fillId="0" borderId="10" xfId="75" applyNumberFormat="1" applyFont="1" applyBorder="1" applyAlignment="1">
      <alignment horizontal="center" vertical="center"/>
      <protection/>
    </xf>
    <xf numFmtId="0" fontId="28" fillId="0" borderId="0" xfId="75" applyFont="1" applyAlignment="1">
      <alignment vertical="center"/>
      <protection/>
    </xf>
    <xf numFmtId="1" fontId="28" fillId="0" borderId="0" xfId="75" applyNumberFormat="1" applyFont="1" applyFill="1" applyAlignment="1">
      <alignment vertical="center"/>
      <protection/>
    </xf>
    <xf numFmtId="1" fontId="28" fillId="0" borderId="0" xfId="73" applyNumberFormat="1" applyFont="1" applyFill="1" applyAlignment="1">
      <alignment vertical="center"/>
      <protection/>
    </xf>
    <xf numFmtId="4" fontId="3" fillId="7" borderId="10" xfId="75" applyNumberFormat="1" applyFont="1" applyFill="1" applyBorder="1" applyAlignment="1">
      <alignment horizontal="center" vertical="center"/>
      <protection/>
    </xf>
    <xf numFmtId="4" fontId="3" fillId="0" borderId="10" xfId="75" applyNumberFormat="1" applyFont="1" applyBorder="1" applyAlignment="1">
      <alignment horizontal="center" vertical="center"/>
      <protection/>
    </xf>
    <xf numFmtId="4" fontId="28" fillId="0" borderId="10" xfId="75" applyNumberFormat="1" applyFont="1" applyBorder="1" applyAlignment="1">
      <alignment horizontal="center" vertical="center"/>
      <protection/>
    </xf>
    <xf numFmtId="0" fontId="25" fillId="0" borderId="0" xfId="77" applyFont="1" applyFill="1" applyBorder="1" applyAlignment="1">
      <alignment horizontal="center" vertical="center"/>
      <protection/>
    </xf>
    <xf numFmtId="0" fontId="43" fillId="0" borderId="11" xfId="77" applyNumberFormat="1" applyFont="1" applyFill="1" applyBorder="1" applyAlignment="1">
      <alignment horizontal="center" vertical="center"/>
      <protection/>
    </xf>
    <xf numFmtId="173" fontId="3" fillId="0" borderId="10" xfId="75" applyNumberFormat="1" applyFont="1" applyFill="1" applyBorder="1" applyAlignment="1">
      <alignment horizontal="center" vertical="center" wrapText="1"/>
      <protection/>
    </xf>
    <xf numFmtId="173" fontId="3" fillId="0" borderId="12" xfId="75" applyNumberFormat="1" applyFont="1" applyFill="1" applyBorder="1" applyAlignment="1">
      <alignment horizontal="center" vertical="center" wrapText="1"/>
      <protection/>
    </xf>
    <xf numFmtId="0" fontId="3" fillId="0" borderId="10" xfId="75" applyFont="1" applyBorder="1" applyAlignment="1">
      <alignment vertical="center"/>
      <protection/>
    </xf>
    <xf numFmtId="0" fontId="3" fillId="0" borderId="13" xfId="75" applyNumberFormat="1" applyFont="1" applyBorder="1" applyAlignment="1">
      <alignment horizontal="center" vertical="center"/>
      <protection/>
    </xf>
    <xf numFmtId="0" fontId="29" fillId="14" borderId="10" xfId="74" applyFont="1" applyFill="1" applyBorder="1" applyAlignment="1">
      <alignment horizontal="left" vertical="center" wrapText="1"/>
      <protection/>
    </xf>
    <xf numFmtId="0" fontId="24" fillId="0" borderId="11" xfId="74" applyFont="1" applyFill="1" applyBorder="1" applyAlignment="1">
      <alignment horizontal="center" vertical="center" wrapText="1"/>
      <protection/>
    </xf>
    <xf numFmtId="0" fontId="29" fillId="0" borderId="11" xfId="74" applyFont="1" applyFill="1" applyBorder="1" applyAlignment="1">
      <alignment horizontal="left" vertical="center" wrapText="1"/>
      <protection/>
    </xf>
    <xf numFmtId="174" fontId="22" fillId="0" borderId="11" xfId="72" applyNumberFormat="1" applyFont="1" applyFill="1" applyBorder="1" applyAlignment="1">
      <alignment horizontal="center" vertical="center"/>
      <protection/>
    </xf>
    <xf numFmtId="0" fontId="3" fillId="0" borderId="11" xfId="75" applyNumberFormat="1" applyFont="1" applyBorder="1" applyAlignment="1">
      <alignment horizontal="center" vertical="center"/>
      <protection/>
    </xf>
    <xf numFmtId="4" fontId="3" fillId="0" borderId="11" xfId="73" applyNumberFormat="1" applyFont="1" applyFill="1" applyBorder="1" applyAlignment="1">
      <alignment horizontal="center" vertical="center" wrapText="1"/>
      <protection/>
    </xf>
    <xf numFmtId="0" fontId="22" fillId="0" borderId="10" xfId="75" applyNumberFormat="1" applyFont="1" applyBorder="1" applyAlignment="1">
      <alignment horizontal="left" vertical="center" wrapText="1"/>
      <protection/>
    </xf>
    <xf numFmtId="182" fontId="3" fillId="0" borderId="0" xfId="75" applyNumberFormat="1" applyFont="1" applyAlignment="1">
      <alignment horizontal="right" vertical="center"/>
      <protection/>
    </xf>
    <xf numFmtId="4" fontId="33" fillId="0" borderId="10" xfId="75" applyNumberFormat="1" applyFont="1" applyBorder="1" applyAlignment="1">
      <alignment horizontal="center" vertical="center"/>
      <protection/>
    </xf>
    <xf numFmtId="179" fontId="33" fillId="0" borderId="10" xfId="75" applyNumberFormat="1" applyFont="1" applyFill="1" applyBorder="1" applyAlignment="1">
      <alignment horizontal="center" vertical="center"/>
      <protection/>
    </xf>
    <xf numFmtId="174" fontId="3" fillId="0" borderId="10" xfId="72" applyNumberFormat="1" applyFont="1" applyFill="1" applyBorder="1" applyAlignment="1">
      <alignment horizontal="center" vertical="center"/>
      <protection/>
    </xf>
    <xf numFmtId="174" fontId="3" fillId="7" borderId="10" xfId="72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wrapText="1"/>
      <protection/>
    </xf>
    <xf numFmtId="0" fontId="25" fillId="0" borderId="10" xfId="77" applyNumberFormat="1" applyFont="1" applyFill="1" applyBorder="1" applyAlignment="1">
      <alignment horizontal="center" vertical="center" wrapText="1"/>
      <protection/>
    </xf>
    <xf numFmtId="0" fontId="25" fillId="0" borderId="10" xfId="77" applyNumberFormat="1" applyFont="1" applyFill="1" applyBorder="1" applyAlignment="1">
      <alignment horizontal="center" vertical="center"/>
      <protection/>
    </xf>
    <xf numFmtId="1" fontId="25" fillId="0" borderId="10" xfId="77" applyNumberFormat="1" applyFont="1" applyFill="1" applyBorder="1" applyAlignment="1">
      <alignment horizontal="center" vertical="center"/>
      <protection/>
    </xf>
    <xf numFmtId="174" fontId="3" fillId="0" borderId="0" xfId="72" applyNumberFormat="1" applyFont="1" applyFill="1" applyBorder="1" applyAlignment="1">
      <alignment horizontal="center" vertical="center"/>
      <protection/>
    </xf>
    <xf numFmtId="174" fontId="28" fillId="0" borderId="10" xfId="72" applyNumberFormat="1" applyFont="1" applyFill="1" applyBorder="1" applyAlignment="1">
      <alignment horizontal="center" vertical="center"/>
      <protection/>
    </xf>
    <xf numFmtId="172" fontId="3" fillId="0" borderId="10" xfId="75" applyNumberFormat="1" applyFont="1" applyBorder="1" applyAlignment="1">
      <alignment horizontal="center" vertical="center"/>
      <protection/>
    </xf>
    <xf numFmtId="184" fontId="3" fillId="0" borderId="0" xfId="75" applyNumberFormat="1" applyFont="1" applyAlignment="1">
      <alignment horizontal="right" vertical="center"/>
      <protection/>
    </xf>
    <xf numFmtId="0" fontId="36" fillId="0" borderId="0" xfId="75" applyFont="1">
      <alignment/>
      <protection/>
    </xf>
    <xf numFmtId="0" fontId="3" fillId="24" borderId="0" xfId="75" applyFont="1" applyFill="1">
      <alignment/>
      <protection/>
    </xf>
    <xf numFmtId="0" fontId="3" fillId="25" borderId="0" xfId="75" applyNumberFormat="1" applyFont="1" applyFill="1" applyAlignment="1">
      <alignment horizontal="right" vertical="center"/>
      <protection/>
    </xf>
    <xf numFmtId="0" fontId="3" fillId="25" borderId="0" xfId="75" applyFont="1" applyFill="1">
      <alignment/>
      <protection/>
    </xf>
    <xf numFmtId="0" fontId="3" fillId="25" borderId="10" xfId="73" applyNumberFormat="1" applyFont="1" applyFill="1" applyBorder="1" applyAlignment="1">
      <alignment horizontal="center" vertical="center" textRotation="90" wrapText="1"/>
      <protection/>
    </xf>
    <xf numFmtId="173" fontId="3" fillId="25" borderId="10" xfId="73" applyNumberFormat="1" applyFont="1" applyFill="1" applyBorder="1" applyAlignment="1">
      <alignment horizontal="center" vertical="center" wrapText="1"/>
      <protection/>
    </xf>
    <xf numFmtId="173" fontId="28" fillId="7" borderId="10" xfId="75" applyNumberFormat="1" applyFont="1" applyFill="1" applyBorder="1" applyAlignment="1">
      <alignment horizontal="center" vertical="center"/>
      <protection/>
    </xf>
    <xf numFmtId="173" fontId="3" fillId="25" borderId="10" xfId="75" applyNumberFormat="1" applyFont="1" applyFill="1" applyBorder="1" applyAlignment="1">
      <alignment horizontal="center" vertical="center"/>
      <protection/>
    </xf>
    <xf numFmtId="173" fontId="28" fillId="25" borderId="10" xfId="75" applyNumberFormat="1" applyFont="1" applyFill="1" applyBorder="1" applyAlignment="1">
      <alignment horizontal="center" vertical="center"/>
      <protection/>
    </xf>
    <xf numFmtId="0" fontId="25" fillId="24" borderId="10" xfId="74" applyFont="1" applyFill="1" applyBorder="1" applyAlignment="1">
      <alignment horizontal="left" vertical="center" wrapText="1"/>
      <protection/>
    </xf>
    <xf numFmtId="1" fontId="3" fillId="26" borderId="0" xfId="75" applyNumberFormat="1" applyFont="1" applyFill="1" applyAlignment="1">
      <alignment horizontal="right" vertical="center"/>
      <protection/>
    </xf>
    <xf numFmtId="1" fontId="3" fillId="24" borderId="0" xfId="75" applyNumberFormat="1" applyFont="1" applyFill="1" applyAlignment="1">
      <alignment horizontal="right" vertical="center"/>
      <protection/>
    </xf>
    <xf numFmtId="1" fontId="36" fillId="7" borderId="0" xfId="75" applyNumberFormat="1" applyFont="1" applyFill="1" applyAlignment="1">
      <alignment horizontal="right" vertical="center"/>
      <protection/>
    </xf>
    <xf numFmtId="1" fontId="36" fillId="0" borderId="0" xfId="75" applyNumberFormat="1" applyFont="1" applyAlignment="1">
      <alignment horizontal="right" vertical="center"/>
      <protection/>
    </xf>
    <xf numFmtId="1" fontId="36" fillId="0" borderId="0" xfId="75" applyNumberFormat="1" applyFont="1" applyFill="1" applyAlignment="1">
      <alignment horizontal="right" vertical="center"/>
      <protection/>
    </xf>
    <xf numFmtId="1" fontId="3" fillId="25" borderId="0" xfId="75" applyNumberFormat="1" applyFont="1" applyFill="1" applyAlignment="1">
      <alignment horizontal="right" vertical="center"/>
      <protection/>
    </xf>
    <xf numFmtId="1" fontId="3" fillId="25" borderId="10" xfId="73" applyNumberFormat="1" applyFont="1" applyFill="1" applyBorder="1" applyAlignment="1">
      <alignment horizontal="center" vertical="center" textRotation="90" wrapText="1"/>
      <protection/>
    </xf>
    <xf numFmtId="173" fontId="3" fillId="7" borderId="10" xfId="75" applyNumberFormat="1" applyFont="1" applyFill="1" applyBorder="1" applyAlignment="1">
      <alignment horizontal="center" vertical="center"/>
      <protection/>
    </xf>
    <xf numFmtId="1" fontId="3" fillId="25" borderId="10" xfId="77" applyNumberFormat="1" applyFont="1" applyFill="1" applyBorder="1" applyAlignment="1">
      <alignment horizontal="center" vertical="center" textRotation="90" wrapText="1"/>
      <protection/>
    </xf>
    <xf numFmtId="1" fontId="3" fillId="25" borderId="10" xfId="77" applyNumberFormat="1" applyFont="1" applyFill="1" applyBorder="1" applyAlignment="1">
      <alignment horizontal="center" vertical="center"/>
      <protection/>
    </xf>
    <xf numFmtId="1" fontId="3" fillId="7" borderId="0" xfId="75" applyNumberFormat="1" applyFont="1" applyFill="1" applyAlignment="1">
      <alignment horizontal="right" vertical="center"/>
      <protection/>
    </xf>
    <xf numFmtId="0" fontId="3" fillId="7" borderId="0" xfId="75" applyFont="1" applyFill="1">
      <alignment/>
      <protection/>
    </xf>
    <xf numFmtId="4" fontId="3" fillId="25" borderId="10" xfId="73" applyNumberFormat="1" applyFont="1" applyFill="1" applyBorder="1" applyAlignment="1">
      <alignment horizontal="center" vertical="center" wrapText="1"/>
      <protection/>
    </xf>
    <xf numFmtId="4" fontId="28" fillId="7" borderId="10" xfId="75" applyNumberFormat="1" applyFont="1" applyFill="1" applyBorder="1" applyAlignment="1">
      <alignment horizontal="center" vertical="center"/>
      <protection/>
    </xf>
    <xf numFmtId="4" fontId="3" fillId="25" borderId="10" xfId="75" applyNumberFormat="1" applyFont="1" applyFill="1" applyBorder="1" applyAlignment="1">
      <alignment horizontal="center" vertical="center"/>
      <protection/>
    </xf>
    <xf numFmtId="4" fontId="3" fillId="7" borderId="10" xfId="75" applyNumberFormat="1" applyFont="1" applyFill="1" applyBorder="1" applyAlignment="1">
      <alignment horizontal="center" vertical="center"/>
      <protection/>
    </xf>
    <xf numFmtId="4" fontId="28" fillId="25" borderId="10" xfId="75" applyNumberFormat="1" applyFont="1" applyFill="1" applyBorder="1" applyAlignment="1">
      <alignment horizontal="center" vertical="center"/>
      <protection/>
    </xf>
    <xf numFmtId="4" fontId="3" fillId="27" borderId="10" xfId="75" applyNumberFormat="1" applyFont="1" applyFill="1" applyBorder="1" applyAlignment="1">
      <alignment horizontal="center" vertical="center"/>
      <protection/>
    </xf>
    <xf numFmtId="4" fontId="3" fillId="25" borderId="10" xfId="80" applyNumberFormat="1" applyFont="1" applyFill="1" applyBorder="1" applyAlignment="1">
      <alignment horizontal="center"/>
      <protection/>
    </xf>
    <xf numFmtId="173" fontId="3" fillId="25" borderId="11" xfId="75" applyNumberFormat="1" applyFont="1" applyFill="1" applyBorder="1" applyAlignment="1">
      <alignment horizontal="center" vertical="center"/>
      <protection/>
    </xf>
    <xf numFmtId="175" fontId="3" fillId="25" borderId="10" xfId="75" applyNumberFormat="1" applyFont="1" applyFill="1" applyBorder="1" applyAlignment="1">
      <alignment horizontal="center" vertical="center"/>
      <protection/>
    </xf>
    <xf numFmtId="0" fontId="3" fillId="25" borderId="10" xfId="75" applyFont="1" applyFill="1" applyBorder="1" applyAlignment="1">
      <alignment horizontal="center" vertical="center"/>
      <protection/>
    </xf>
    <xf numFmtId="173" fontId="3" fillId="25" borderId="0" xfId="75" applyNumberFormat="1" applyFont="1" applyFill="1" applyAlignment="1">
      <alignment horizontal="right" vertical="center"/>
      <protection/>
    </xf>
    <xf numFmtId="0" fontId="3" fillId="25" borderId="0" xfId="79" applyNumberFormat="1" applyFont="1" applyFill="1" applyAlignment="1">
      <alignment horizontal="right" vertical="center"/>
      <protection/>
    </xf>
    <xf numFmtId="0" fontId="47" fillId="25" borderId="0" xfId="76" applyNumberFormat="1" applyFont="1" applyFill="1" applyBorder="1" applyAlignment="1">
      <alignment horizontal="right" vertical="center"/>
      <protection/>
    </xf>
    <xf numFmtId="0" fontId="28" fillId="25" borderId="10" xfId="77" applyNumberFormat="1" applyFont="1" applyFill="1" applyBorder="1" applyAlignment="1">
      <alignment horizontal="center" vertical="center" wrapText="1"/>
      <protection/>
    </xf>
    <xf numFmtId="0" fontId="3" fillId="25" borderId="10" xfId="77" applyNumberFormat="1" applyFont="1" applyFill="1" applyBorder="1" applyAlignment="1">
      <alignment horizontal="center" vertical="center" textRotation="90" wrapText="1"/>
      <protection/>
    </xf>
    <xf numFmtId="0" fontId="3" fillId="25" borderId="10" xfId="77" applyNumberFormat="1" applyFont="1" applyFill="1" applyBorder="1" applyAlignment="1">
      <alignment horizontal="center" vertical="center"/>
      <protection/>
    </xf>
    <xf numFmtId="1" fontId="25" fillId="0" borderId="0" xfId="79" applyNumberFormat="1" applyFont="1" applyFill="1" applyAlignment="1">
      <alignment horizontal="right" vertical="center"/>
      <protection/>
    </xf>
    <xf numFmtId="1" fontId="3" fillId="0" borderId="0" xfId="79" applyNumberFormat="1" applyFont="1" applyFill="1" applyAlignment="1">
      <alignment horizontal="right" vertical="center"/>
      <protection/>
    </xf>
    <xf numFmtId="1" fontId="25" fillId="0" borderId="0" xfId="79" applyNumberFormat="1" applyFont="1" applyFill="1" applyAlignment="1">
      <alignment horizontal="right" vertical="center"/>
      <protection/>
    </xf>
    <xf numFmtId="1" fontId="36" fillId="0" borderId="0" xfId="79" applyNumberFormat="1" applyFont="1" applyFill="1" applyAlignment="1">
      <alignment horizontal="right" vertical="center"/>
      <protection/>
    </xf>
    <xf numFmtId="0" fontId="25" fillId="0" borderId="0" xfId="79" applyNumberFormat="1" applyFont="1" applyFill="1" applyAlignment="1">
      <alignment horizontal="center" vertical="center"/>
      <protection/>
    </xf>
    <xf numFmtId="1" fontId="3" fillId="0" borderId="0" xfId="75" applyNumberFormat="1" applyFont="1" applyFill="1" applyAlignment="1">
      <alignment horizontal="right" vertical="center"/>
      <protection/>
    </xf>
    <xf numFmtId="1" fontId="3" fillId="0" borderId="10" xfId="77" applyNumberFormat="1" applyFont="1" applyFill="1" applyBorder="1" applyAlignment="1">
      <alignment horizontal="center" vertical="center" textRotation="90" wrapText="1"/>
      <protection/>
    </xf>
    <xf numFmtId="1" fontId="3" fillId="0" borderId="10" xfId="73" applyNumberFormat="1" applyFont="1" applyFill="1" applyBorder="1" applyAlignment="1">
      <alignment horizontal="center" vertical="center" textRotation="90" wrapText="1"/>
      <protection/>
    </xf>
    <xf numFmtId="1" fontId="25" fillId="0" borderId="10" xfId="77" applyNumberFormat="1" applyFont="1" applyFill="1" applyBorder="1" applyAlignment="1">
      <alignment horizontal="center" vertical="center" textRotation="90" wrapText="1"/>
      <protection/>
    </xf>
    <xf numFmtId="1" fontId="3" fillId="0" borderId="10" xfId="77" applyNumberFormat="1" applyFont="1" applyFill="1" applyBorder="1" applyAlignment="1">
      <alignment horizontal="center" vertical="center"/>
      <protection/>
    </xf>
    <xf numFmtId="1" fontId="25" fillId="0" borderId="10" xfId="77" applyNumberFormat="1" applyFont="1" applyFill="1" applyBorder="1" applyAlignment="1">
      <alignment horizontal="center" vertical="center"/>
      <protection/>
    </xf>
    <xf numFmtId="173" fontId="3" fillId="0" borderId="10" xfId="73" applyNumberFormat="1" applyFont="1" applyFill="1" applyBorder="1" applyAlignment="1">
      <alignment horizontal="center" vertical="center" wrapText="1"/>
      <protection/>
    </xf>
    <xf numFmtId="173" fontId="3" fillId="0" borderId="10" xfId="75" applyNumberFormat="1" applyFont="1" applyFill="1" applyBorder="1" applyAlignment="1">
      <alignment horizontal="center" vertical="center"/>
      <protection/>
    </xf>
    <xf numFmtId="0" fontId="3" fillId="0" borderId="0" xfId="75" applyNumberFormat="1" applyFont="1" applyFill="1" applyBorder="1" applyAlignment="1">
      <alignment horizontal="center" vertical="center"/>
      <protection/>
    </xf>
    <xf numFmtId="0" fontId="3" fillId="0" borderId="10" xfId="75" applyNumberFormat="1" applyFont="1" applyFill="1" applyBorder="1" applyAlignment="1">
      <alignment horizontal="left" vertical="center" wrapText="1"/>
      <protection/>
    </xf>
    <xf numFmtId="178" fontId="3" fillId="0" borderId="0" xfId="75" applyNumberFormat="1" applyFont="1" applyFill="1" applyAlignment="1">
      <alignment horizontal="right" vertical="center"/>
      <protection/>
    </xf>
    <xf numFmtId="1" fontId="22" fillId="0" borderId="0" xfId="75" applyNumberFormat="1" applyFont="1" applyFill="1" applyAlignment="1">
      <alignment horizontal="center" vertical="center"/>
      <protection/>
    </xf>
    <xf numFmtId="0" fontId="22" fillId="0" borderId="0" xfId="75" applyFont="1" applyFill="1" applyAlignment="1">
      <alignment horizontal="right" vertical="center"/>
      <protection/>
    </xf>
    <xf numFmtId="0" fontId="3" fillId="0" borderId="0" xfId="75" applyFont="1" applyFill="1">
      <alignment/>
      <protection/>
    </xf>
    <xf numFmtId="0" fontId="36" fillId="0" borderId="0" xfId="75" applyFont="1" applyFill="1">
      <alignment/>
      <protection/>
    </xf>
    <xf numFmtId="0" fontId="25" fillId="0" borderId="0" xfId="79" applyNumberFormat="1" applyFont="1" applyFill="1" applyAlignment="1">
      <alignment horizontal="left" vertical="center" wrapText="1"/>
      <protection/>
    </xf>
    <xf numFmtId="0" fontId="25" fillId="0" borderId="0" xfId="79" applyNumberFormat="1" applyFont="1" applyFill="1" applyAlignment="1">
      <alignment horizontal="left" vertical="center"/>
      <protection/>
    </xf>
    <xf numFmtId="1" fontId="47" fillId="0" borderId="0" xfId="76" applyNumberFormat="1" applyFont="1" applyFill="1" applyBorder="1" applyAlignment="1">
      <alignment horizontal="right" vertical="center"/>
      <protection/>
    </xf>
    <xf numFmtId="4" fontId="3" fillId="0" borderId="10" xfId="73" applyNumberFormat="1" applyFont="1" applyFill="1" applyBorder="1" applyAlignment="1">
      <alignment horizontal="center" vertical="center" wrapText="1"/>
      <protection/>
    </xf>
    <xf numFmtId="4" fontId="28" fillId="0" borderId="10" xfId="75" applyNumberFormat="1" applyFont="1" applyFill="1" applyBorder="1" applyAlignment="1">
      <alignment horizontal="center" vertical="center"/>
      <protection/>
    </xf>
    <xf numFmtId="4" fontId="3" fillId="0" borderId="10" xfId="75" applyNumberFormat="1" applyFont="1" applyFill="1" applyBorder="1" applyAlignment="1">
      <alignment horizontal="center" vertical="center"/>
      <protection/>
    </xf>
    <xf numFmtId="4" fontId="28" fillId="0" borderId="10" xfId="75" applyNumberFormat="1" applyFont="1" applyBorder="1" applyAlignment="1">
      <alignment horizontal="center" vertical="center"/>
      <protection/>
    </xf>
    <xf numFmtId="4" fontId="3" fillId="0" borderId="10" xfId="75" applyNumberFormat="1" applyFont="1" applyBorder="1" applyAlignment="1">
      <alignment horizontal="center" vertical="center"/>
      <protection/>
    </xf>
    <xf numFmtId="0" fontId="37" fillId="0" borderId="0" xfId="79" applyFont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3" fillId="0" borderId="0" xfId="75" applyFont="1" applyFill="1" applyBorder="1" applyAlignment="1">
      <alignment horizontal="center" vertical="center" wrapText="1"/>
      <protection/>
    </xf>
    <xf numFmtId="0" fontId="24" fillId="0" borderId="0" xfId="79" applyFont="1" applyBorder="1" applyAlignment="1">
      <alignment horizontal="center" vertical="center"/>
      <protection/>
    </xf>
    <xf numFmtId="0" fontId="28" fillId="0" borderId="10" xfId="75" applyNumberFormat="1" applyFont="1" applyFill="1" applyBorder="1" applyAlignment="1">
      <alignment horizontal="center" vertical="center" wrapText="1"/>
      <protection/>
    </xf>
    <xf numFmtId="0" fontId="25" fillId="0" borderId="0" xfId="79" applyFont="1" applyBorder="1" applyAlignment="1">
      <alignment horizontal="center" vertical="center"/>
      <protection/>
    </xf>
    <xf numFmtId="0" fontId="27" fillId="0" borderId="0" xfId="79" applyFont="1" applyBorder="1" applyAlignment="1">
      <alignment horizontal="center" vertical="center"/>
      <protection/>
    </xf>
    <xf numFmtId="0" fontId="23" fillId="0" borderId="18" xfId="75" applyFont="1" applyFill="1" applyBorder="1" applyAlignment="1">
      <alignment horizontal="center" vertical="center"/>
      <protection/>
    </xf>
    <xf numFmtId="0" fontId="28" fillId="0" borderId="10" xfId="75" applyFont="1" applyFill="1" applyBorder="1" applyAlignment="1">
      <alignment horizontal="center" vertical="center" wrapText="1"/>
      <protection/>
    </xf>
    <xf numFmtId="9" fontId="28" fillId="0" borderId="10" xfId="75" applyNumberFormat="1" applyFont="1" applyFill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left" wrapText="1"/>
      <protection/>
    </xf>
    <xf numFmtId="0" fontId="28" fillId="0" borderId="0" xfId="75" applyFont="1" applyFill="1" applyBorder="1" applyAlignment="1">
      <alignment horizontal="center" vertical="center"/>
      <protection/>
    </xf>
    <xf numFmtId="0" fontId="25" fillId="0" borderId="0" xfId="79" applyFont="1" applyBorder="1" applyAlignment="1">
      <alignment horizontal="left" vertical="center"/>
      <protection/>
    </xf>
    <xf numFmtId="0" fontId="28" fillId="0" borderId="18" xfId="75" applyFont="1" applyFill="1" applyBorder="1" applyAlignment="1">
      <alignment horizontal="center" vertical="center"/>
      <protection/>
    </xf>
    <xf numFmtId="0" fontId="28" fillId="0" borderId="10" xfId="75" applyFont="1" applyFill="1" applyBorder="1" applyAlignment="1">
      <alignment horizontal="center" vertical="center"/>
      <protection/>
    </xf>
    <xf numFmtId="0" fontId="39" fillId="2" borderId="0" xfId="0" applyNumberFormat="1" applyFont="1" applyFill="1" applyBorder="1" applyAlignment="1">
      <alignment horizontal="left" vertical="top" wrapText="1" indent="2"/>
    </xf>
    <xf numFmtId="0" fontId="28" fillId="0" borderId="18" xfId="75" applyFont="1" applyBorder="1" applyAlignment="1">
      <alignment horizontal="center" vertical="center" wrapText="1"/>
      <protection/>
    </xf>
    <xf numFmtId="0" fontId="37" fillId="0" borderId="19" xfId="77" applyNumberFormat="1" applyFont="1" applyFill="1" applyBorder="1" applyAlignment="1">
      <alignment horizontal="center" vertical="center" wrapText="1"/>
      <protection/>
    </xf>
    <xf numFmtId="0" fontId="25" fillId="0" borderId="0" xfId="79" applyNumberFormat="1" applyFont="1" applyBorder="1" applyAlignment="1">
      <alignment horizontal="center" vertical="center"/>
      <protection/>
    </xf>
    <xf numFmtId="0" fontId="23" fillId="0" borderId="18" xfId="81" applyNumberFormat="1" applyFont="1" applyFill="1" applyBorder="1" applyAlignment="1">
      <alignment horizontal="center" vertical="center"/>
      <protection/>
    </xf>
    <xf numFmtId="0" fontId="37" fillId="0" borderId="10" xfId="77" applyNumberFormat="1" applyFont="1" applyFill="1" applyBorder="1" applyAlignment="1">
      <alignment horizontal="center" vertical="center"/>
      <protection/>
    </xf>
    <xf numFmtId="0" fontId="37" fillId="0" borderId="10" xfId="77" applyNumberFormat="1" applyFont="1" applyFill="1" applyBorder="1" applyAlignment="1">
      <alignment horizontal="center" vertical="center" wrapText="1"/>
      <protection/>
    </xf>
    <xf numFmtId="0" fontId="28" fillId="25" borderId="10" xfId="77" applyNumberFormat="1" applyFont="1" applyFill="1" applyBorder="1" applyAlignment="1">
      <alignment horizontal="center" vertical="center"/>
      <protection/>
    </xf>
    <xf numFmtId="0" fontId="37" fillId="0" borderId="10" xfId="77" applyFont="1" applyFill="1" applyBorder="1" applyAlignment="1">
      <alignment horizontal="center" vertical="center"/>
      <protection/>
    </xf>
    <xf numFmtId="0" fontId="37" fillId="0" borderId="10" xfId="77" applyFont="1" applyFill="1" applyBorder="1" applyAlignment="1">
      <alignment horizontal="center" vertical="center" wrapText="1"/>
      <protection/>
    </xf>
    <xf numFmtId="0" fontId="28" fillId="25" borderId="10" xfId="77" applyNumberFormat="1" applyFont="1" applyFill="1" applyBorder="1" applyAlignment="1">
      <alignment horizontal="center" vertical="center" wrapText="1"/>
      <protection/>
    </xf>
    <xf numFmtId="0" fontId="37" fillId="0" borderId="0" xfId="79" applyFont="1" applyFill="1" applyBorder="1" applyAlignment="1">
      <alignment horizontal="center" vertical="center"/>
      <protection/>
    </xf>
    <xf numFmtId="1" fontId="37" fillId="0" borderId="10" xfId="77" applyNumberFormat="1" applyFont="1" applyFill="1" applyBorder="1" applyAlignment="1">
      <alignment horizontal="center" vertical="center"/>
      <protection/>
    </xf>
    <xf numFmtId="0" fontId="25" fillId="0" borderId="0" xfId="79" applyFont="1" applyFill="1" applyBorder="1" applyAlignment="1">
      <alignment horizontal="center" vertical="center"/>
      <protection/>
    </xf>
    <xf numFmtId="0" fontId="27" fillId="0" borderId="0" xfId="79" applyFont="1" applyFill="1" applyBorder="1" applyAlignment="1">
      <alignment horizontal="center" vertical="center"/>
      <protection/>
    </xf>
    <xf numFmtId="0" fontId="25" fillId="0" borderId="0" xfId="79" applyNumberFormat="1" applyFont="1" applyFill="1" applyBorder="1" applyAlignment="1">
      <alignment horizontal="center" vertical="center"/>
      <protection/>
    </xf>
    <xf numFmtId="1" fontId="28" fillId="0" borderId="10" xfId="77" applyNumberFormat="1" applyFont="1" applyFill="1" applyBorder="1" applyAlignment="1">
      <alignment horizontal="center" vertical="center"/>
      <protection/>
    </xf>
    <xf numFmtId="1" fontId="37" fillId="0" borderId="12" xfId="77" applyNumberFormat="1" applyFont="1" applyFill="1" applyBorder="1" applyAlignment="1">
      <alignment horizontal="center" vertical="center"/>
      <protection/>
    </xf>
    <xf numFmtId="1" fontId="37" fillId="0" borderId="19" xfId="77" applyNumberFormat="1" applyFont="1" applyFill="1" applyBorder="1" applyAlignment="1">
      <alignment horizontal="center" vertical="center"/>
      <protection/>
    </xf>
    <xf numFmtId="1" fontId="28" fillId="25" borderId="10" xfId="77" applyNumberFormat="1" applyFont="1" applyFill="1" applyBorder="1" applyAlignment="1">
      <alignment horizontal="center" vertical="center"/>
      <protection/>
    </xf>
    <xf numFmtId="1" fontId="37" fillId="0" borderId="10" xfId="77" applyNumberFormat="1" applyFont="1" applyFill="1" applyBorder="1" applyAlignment="1">
      <alignment horizontal="center" vertical="center" wrapText="1"/>
      <protection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8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2 2 5" xfId="72"/>
    <cellStyle name="Обычный 22" xfId="73"/>
    <cellStyle name="Обычный 3 2" xfId="74"/>
    <cellStyle name="Обычный 3 3 2" xfId="75"/>
    <cellStyle name="Обычный 4 3" xfId="76"/>
    <cellStyle name="Обычный 5 9" xfId="77"/>
    <cellStyle name="Обычный 7" xfId="78"/>
    <cellStyle name="Обычный 7 2" xfId="79"/>
    <cellStyle name="Обычный_Отчет оп инвест программе" xfId="80"/>
    <cellStyle name="Обычный_Форматы по компаниям_last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view="pageBreakPreview" zoomScale="75" zoomScaleNormal="85" zoomScaleSheetLayoutView="75" zoomScalePageLayoutView="0" workbookViewId="0" topLeftCell="B7">
      <pane xSplit="1" topLeftCell="I2" activePane="topRight" state="frozen"/>
      <selection pane="topLeft" activeCell="B31" sqref="B31"/>
      <selection pane="topRight" activeCell="L21" sqref="L21"/>
    </sheetView>
  </sheetViews>
  <sheetFormatPr defaultColWidth="9.8515625" defaultRowHeight="12.75"/>
  <cols>
    <col min="1" max="1" width="15.00390625" style="1" customWidth="1"/>
    <col min="2" max="2" width="88.421875" style="2" customWidth="1"/>
    <col min="3" max="3" width="20.28125" style="1" customWidth="1"/>
    <col min="4" max="4" width="11.8515625" style="3" customWidth="1"/>
    <col min="5" max="5" width="13.7109375" style="3" customWidth="1"/>
    <col min="6" max="6" width="13.7109375" style="1" customWidth="1"/>
    <col min="7" max="7" width="31.140625" style="4" customWidth="1"/>
    <col min="8" max="8" width="30.00390625" style="4" customWidth="1"/>
    <col min="9" max="9" width="29.00390625" style="4" customWidth="1"/>
    <col min="10" max="10" width="28.8515625" style="4" customWidth="1"/>
    <col min="11" max="11" width="8.28125" style="4" customWidth="1"/>
    <col min="12" max="12" width="13.8515625" style="4" customWidth="1"/>
    <col min="13" max="13" width="7.57421875" style="4" customWidth="1"/>
    <col min="14" max="14" width="7.28125" style="4" customWidth="1"/>
    <col min="15" max="15" width="7.57421875" style="4" customWidth="1"/>
    <col min="16" max="16" width="7.28125" style="4" customWidth="1"/>
    <col min="17" max="17" width="7.57421875" style="4" customWidth="1"/>
    <col min="18" max="18" width="7.28125" style="4" customWidth="1"/>
    <col min="19" max="19" width="13.8515625" style="4" bestFit="1" customWidth="1"/>
    <col min="20" max="20" width="8.57421875" style="4" customWidth="1"/>
    <col min="21" max="21" width="21.28125" style="5" customWidth="1"/>
    <col min="22" max="22" width="17.140625" style="4" customWidth="1"/>
    <col min="23" max="23" width="14.7109375" style="6" customWidth="1"/>
    <col min="24" max="24" width="23.7109375" style="1" customWidth="1"/>
    <col min="25" max="62" width="11.7109375" style="7" customWidth="1"/>
    <col min="63" max="63" width="13.28125" style="7" customWidth="1"/>
    <col min="64" max="64" width="12.57421875" style="7" customWidth="1"/>
    <col min="65" max="65" width="15.57421875" style="7" customWidth="1"/>
    <col min="66" max="66" width="16.57421875" style="7" customWidth="1"/>
    <col min="67" max="67" width="14.28125" style="7" customWidth="1"/>
    <col min="68" max="68" width="12.8515625" style="7" customWidth="1"/>
    <col min="69" max="69" width="19.28125" style="7" customWidth="1"/>
    <col min="70" max="16384" width="9.8515625" style="7" customWidth="1"/>
  </cols>
  <sheetData>
    <row r="1" spans="1:24" ht="18.75">
      <c r="A1" s="8" t="s">
        <v>0</v>
      </c>
      <c r="X1" s="9" t="s">
        <v>1</v>
      </c>
    </row>
    <row r="2" ht="18.75">
      <c r="X2" s="9" t="s">
        <v>2</v>
      </c>
    </row>
    <row r="3" ht="18.75">
      <c r="X3" s="9" t="s">
        <v>3</v>
      </c>
    </row>
    <row r="4" spans="1:24" ht="18.75">
      <c r="A4" s="345" t="s">
        <v>212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10"/>
    </row>
    <row r="5" spans="4:24" ht="18.75">
      <c r="D5" s="4"/>
      <c r="E5" s="4"/>
      <c r="F5" s="5"/>
      <c r="W5" s="11"/>
      <c r="X5" s="10"/>
    </row>
    <row r="6" spans="1:24" ht="18.75" customHeight="1">
      <c r="A6" s="346" t="s">
        <v>256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10"/>
    </row>
    <row r="7" spans="1:24" ht="18.75" customHeight="1">
      <c r="A7" s="346" t="s">
        <v>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10"/>
    </row>
    <row r="8" spans="1:24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4"/>
      <c r="X8" s="10"/>
    </row>
    <row r="9" spans="1:24" ht="18.75">
      <c r="A9" s="347" t="s">
        <v>5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10"/>
    </row>
    <row r="10" spans="1:24" ht="15.7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10"/>
    </row>
    <row r="11" spans="1:24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18"/>
      <c r="W11" s="18"/>
      <c r="X11" s="10"/>
    </row>
    <row r="12" spans="1:24" ht="18.75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10"/>
    </row>
    <row r="13" spans="1:24" ht="15.75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</row>
    <row r="14" ht="15.75">
      <c r="L14" s="20"/>
    </row>
    <row r="15" spans="1:24" ht="15.75">
      <c r="A15" s="21"/>
      <c r="B15" s="22"/>
      <c r="C15" s="23"/>
      <c r="D15" s="24"/>
      <c r="E15" s="24"/>
      <c r="F15" s="23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5"/>
      <c r="T15" s="25"/>
      <c r="U15" s="27"/>
      <c r="V15" s="25"/>
      <c r="W15" s="28"/>
      <c r="X15" s="23"/>
    </row>
    <row r="16" spans="1:24" ht="18.75">
      <c r="A16" s="351" t="s">
        <v>7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</row>
    <row r="17" spans="1:24" ht="15.75" customHeight="1">
      <c r="A17" s="348" t="s">
        <v>8</v>
      </c>
      <c r="B17" s="348" t="s">
        <v>9</v>
      </c>
      <c r="C17" s="348" t="s">
        <v>10</v>
      </c>
      <c r="D17" s="348" t="s">
        <v>11</v>
      </c>
      <c r="E17" s="348"/>
      <c r="F17" s="348"/>
      <c r="G17" s="352" t="s">
        <v>12</v>
      </c>
      <c r="H17" s="352" t="s">
        <v>13</v>
      </c>
      <c r="I17" s="352" t="s">
        <v>14</v>
      </c>
      <c r="J17" s="352" t="s">
        <v>15</v>
      </c>
      <c r="K17" s="352" t="s">
        <v>16</v>
      </c>
      <c r="L17" s="352"/>
      <c r="M17" s="352"/>
      <c r="N17" s="352"/>
      <c r="O17" s="352"/>
      <c r="P17" s="352"/>
      <c r="Q17" s="352"/>
      <c r="R17" s="352"/>
      <c r="S17" s="352"/>
      <c r="T17" s="352"/>
      <c r="U17" s="352" t="s">
        <v>17</v>
      </c>
      <c r="V17" s="352" t="s">
        <v>18</v>
      </c>
      <c r="W17" s="352"/>
      <c r="X17" s="348" t="s">
        <v>19</v>
      </c>
    </row>
    <row r="18" spans="1:24" ht="15.75" customHeight="1">
      <c r="A18" s="348"/>
      <c r="B18" s="348"/>
      <c r="C18" s="348"/>
      <c r="D18" s="348"/>
      <c r="E18" s="348"/>
      <c r="F18" s="348"/>
      <c r="G18" s="352"/>
      <c r="H18" s="352"/>
      <c r="I18" s="352"/>
      <c r="J18" s="352"/>
      <c r="K18" s="352" t="s">
        <v>20</v>
      </c>
      <c r="L18" s="352"/>
      <c r="M18" s="352" t="s">
        <v>21</v>
      </c>
      <c r="N18" s="352"/>
      <c r="O18" s="352" t="s">
        <v>22</v>
      </c>
      <c r="P18" s="352"/>
      <c r="Q18" s="352" t="s">
        <v>23</v>
      </c>
      <c r="R18" s="352"/>
      <c r="S18" s="352" t="s">
        <v>24</v>
      </c>
      <c r="T18" s="352"/>
      <c r="U18" s="352"/>
      <c r="V18" s="352" t="s">
        <v>25</v>
      </c>
      <c r="W18" s="353" t="s">
        <v>26</v>
      </c>
      <c r="X18" s="348"/>
    </row>
    <row r="19" spans="1:24" ht="131.25">
      <c r="A19" s="348"/>
      <c r="B19" s="348"/>
      <c r="C19" s="348"/>
      <c r="D19" s="31" t="s">
        <v>27</v>
      </c>
      <c r="E19" s="31" t="s">
        <v>28</v>
      </c>
      <c r="F19" s="31" t="s">
        <v>29</v>
      </c>
      <c r="G19" s="352"/>
      <c r="H19" s="352"/>
      <c r="I19" s="352"/>
      <c r="J19" s="352"/>
      <c r="K19" s="30" t="s">
        <v>30</v>
      </c>
      <c r="L19" s="30" t="s">
        <v>31</v>
      </c>
      <c r="M19" s="30" t="s">
        <v>30</v>
      </c>
      <c r="N19" s="30" t="s">
        <v>31</v>
      </c>
      <c r="O19" s="30" t="s">
        <v>30</v>
      </c>
      <c r="P19" s="30" t="s">
        <v>31</v>
      </c>
      <c r="Q19" s="30" t="s">
        <v>30</v>
      </c>
      <c r="R19" s="30" t="s">
        <v>31</v>
      </c>
      <c r="S19" s="30" t="s">
        <v>30</v>
      </c>
      <c r="T19" s="30" t="s">
        <v>31</v>
      </c>
      <c r="U19" s="352"/>
      <c r="V19" s="352"/>
      <c r="W19" s="353"/>
      <c r="X19" s="348"/>
    </row>
    <row r="20" spans="1:24" ht="15.75">
      <c r="A20" s="29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29">
        <v>24</v>
      </c>
    </row>
    <row r="21" spans="1:28" s="41" customFormat="1" ht="18.75">
      <c r="A21" s="32"/>
      <c r="B21" s="33" t="s">
        <v>32</v>
      </c>
      <c r="C21" s="34"/>
      <c r="D21" s="35"/>
      <c r="E21" s="36">
        <f>E22+E31+E66</f>
        <v>21.44942403999999</v>
      </c>
      <c r="F21" s="36" t="s">
        <v>33</v>
      </c>
      <c r="G21" s="36">
        <f aca="true" t="shared" si="0" ref="G21:V21">G22+G31+G66</f>
        <v>21.44942403999999</v>
      </c>
      <c r="H21" s="36">
        <f t="shared" si="0"/>
        <v>21.44942403999999</v>
      </c>
      <c r="I21" s="36">
        <f t="shared" si="0"/>
        <v>0</v>
      </c>
      <c r="J21" s="36">
        <f t="shared" si="0"/>
        <v>21.44942403999999</v>
      </c>
      <c r="K21" s="36">
        <f t="shared" si="0"/>
        <v>21.44942403999999</v>
      </c>
      <c r="L21" s="36">
        <f t="shared" si="0"/>
        <v>21.4550787876</v>
      </c>
      <c r="M21" s="36">
        <f t="shared" si="0"/>
        <v>0</v>
      </c>
      <c r="N21" s="36">
        <f t="shared" si="0"/>
        <v>0.6232498865999999</v>
      </c>
      <c r="O21" s="36">
        <f t="shared" si="0"/>
        <v>0.28258256736</v>
      </c>
      <c r="P21" s="36">
        <f t="shared" si="0"/>
        <v>2.0674422932</v>
      </c>
      <c r="Q21" s="36">
        <f t="shared" si="0"/>
        <v>2.4961460116799996</v>
      </c>
      <c r="R21" s="36">
        <f t="shared" si="0"/>
        <v>6.003854573</v>
      </c>
      <c r="S21" s="36">
        <f t="shared" si="0"/>
        <v>18.67069546095999</v>
      </c>
      <c r="T21" s="36">
        <f t="shared" si="0"/>
        <v>12.760532034799999</v>
      </c>
      <c r="U21" s="36">
        <f t="shared" si="0"/>
        <v>0</v>
      </c>
      <c r="V21" s="36">
        <f t="shared" si="0"/>
        <v>-5.910163426159989</v>
      </c>
      <c r="W21" s="37">
        <f>V21/S21</f>
        <v>-0.3165475779152421</v>
      </c>
      <c r="X21" s="38"/>
      <c r="Y21" s="39"/>
      <c r="Z21" s="40"/>
      <c r="AA21" s="40"/>
      <c r="AB21" s="40"/>
    </row>
    <row r="22" spans="1:25" ht="18.75">
      <c r="A22" s="32" t="s">
        <v>34</v>
      </c>
      <c r="B22" s="33" t="s">
        <v>35</v>
      </c>
      <c r="C22" s="34"/>
      <c r="D22" s="42"/>
      <c r="E22" s="43">
        <v>0</v>
      </c>
      <c r="F22" s="43"/>
      <c r="G22" s="43">
        <f>G23</f>
        <v>0</v>
      </c>
      <c r="H22" s="43">
        <f>H23</f>
        <v>0</v>
      </c>
      <c r="I22" s="43">
        <f>I23</f>
        <v>0</v>
      </c>
      <c r="J22" s="43">
        <f>J23</f>
        <v>0</v>
      </c>
      <c r="K22" s="43">
        <f aca="true" t="shared" si="1" ref="K22:T22">SUM(K23:K30)</f>
        <v>0</v>
      </c>
      <c r="L22" s="43">
        <f t="shared" si="1"/>
        <v>2.3751031149999995</v>
      </c>
      <c r="M22" s="43">
        <f t="shared" si="1"/>
        <v>0</v>
      </c>
      <c r="N22" s="43">
        <f t="shared" si="1"/>
        <v>0.1022587646</v>
      </c>
      <c r="O22" s="43">
        <f t="shared" si="1"/>
        <v>0</v>
      </c>
      <c r="P22" s="43">
        <f t="shared" si="1"/>
        <v>0</v>
      </c>
      <c r="Q22" s="43">
        <f t="shared" si="1"/>
        <v>0</v>
      </c>
      <c r="R22" s="43">
        <f t="shared" si="1"/>
        <v>0.7869171845999999</v>
      </c>
      <c r="S22" s="43">
        <f t="shared" si="1"/>
        <v>0</v>
      </c>
      <c r="T22" s="43">
        <f t="shared" si="1"/>
        <v>1.4859271658</v>
      </c>
      <c r="U22" s="43">
        <f>U23</f>
        <v>0</v>
      </c>
      <c r="V22" s="43">
        <f>SUM(V23:V30)</f>
        <v>1.4859271658</v>
      </c>
      <c r="W22" s="37"/>
      <c r="X22" s="38"/>
      <c r="Y22" s="44"/>
    </row>
    <row r="23" spans="1:25" ht="49.5">
      <c r="A23" s="45" t="s">
        <v>36</v>
      </c>
      <c r="B23" s="46" t="s">
        <v>37</v>
      </c>
      <c r="C23" s="34"/>
      <c r="D23" s="42"/>
      <c r="E23" s="43">
        <v>0</v>
      </c>
      <c r="F23" s="47"/>
      <c r="G23" s="43">
        <f aca="true" t="shared" si="2" ref="G23:G30">E23</f>
        <v>0</v>
      </c>
      <c r="H23" s="43">
        <f aca="true" t="shared" si="3" ref="H23:H30">G23</f>
        <v>0</v>
      </c>
      <c r="I23" s="43">
        <v>0</v>
      </c>
      <c r="J23" s="48">
        <f>H23-I23</f>
        <v>0</v>
      </c>
      <c r="K23" s="43">
        <f aca="true" t="shared" si="4" ref="K23:K30">M23+O23+Q23+S23</f>
        <v>0</v>
      </c>
      <c r="L23" s="47">
        <f aca="true" t="shared" si="5" ref="L23:L30">N23+P23+R23+T23</f>
        <v>0.1022587646</v>
      </c>
      <c r="M23" s="47">
        <v>0</v>
      </c>
      <c r="N23" s="47">
        <f>86.65997/1000*1.18</f>
        <v>0.1022587646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f aca="true" t="shared" si="6" ref="U23:U30">J23-K23</f>
        <v>0</v>
      </c>
      <c r="V23" s="47">
        <f aca="true" t="shared" si="7" ref="V23:V30">T23-S23</f>
        <v>0</v>
      </c>
      <c r="W23" s="37"/>
      <c r="X23" s="38" t="s">
        <v>38</v>
      </c>
      <c r="Y23" s="44"/>
    </row>
    <row r="24" spans="1:24" ht="49.5">
      <c r="A24" s="45" t="s">
        <v>39</v>
      </c>
      <c r="B24" s="46" t="s">
        <v>40</v>
      </c>
      <c r="C24" s="34"/>
      <c r="D24" s="42"/>
      <c r="E24" s="43">
        <v>0</v>
      </c>
      <c r="F24" s="47"/>
      <c r="G24" s="43">
        <f t="shared" si="2"/>
        <v>0</v>
      </c>
      <c r="H24" s="43">
        <f t="shared" si="3"/>
        <v>0</v>
      </c>
      <c r="I24" s="43">
        <v>0</v>
      </c>
      <c r="J24" s="48">
        <v>0</v>
      </c>
      <c r="K24" s="43">
        <f t="shared" si="4"/>
        <v>0</v>
      </c>
      <c r="L24" s="47">
        <f t="shared" si="5"/>
        <v>0.2860874128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f>242.44696/1000*1.18</f>
        <v>0.2860874128</v>
      </c>
      <c r="S24" s="47">
        <v>0</v>
      </c>
      <c r="T24" s="47">
        <v>0</v>
      </c>
      <c r="U24" s="47">
        <f t="shared" si="6"/>
        <v>0</v>
      </c>
      <c r="V24" s="47">
        <f t="shared" si="7"/>
        <v>0</v>
      </c>
      <c r="W24" s="37"/>
      <c r="X24" s="38" t="s">
        <v>38</v>
      </c>
    </row>
    <row r="25" spans="1:24" ht="49.5">
      <c r="A25" s="45" t="s">
        <v>41</v>
      </c>
      <c r="B25" s="46" t="s">
        <v>42</v>
      </c>
      <c r="C25" s="34"/>
      <c r="D25" s="42"/>
      <c r="E25" s="43">
        <v>0</v>
      </c>
      <c r="F25" s="47"/>
      <c r="G25" s="43">
        <f t="shared" si="2"/>
        <v>0</v>
      </c>
      <c r="H25" s="43">
        <f t="shared" si="3"/>
        <v>0</v>
      </c>
      <c r="I25" s="43">
        <v>0</v>
      </c>
      <c r="J25" s="48">
        <v>0</v>
      </c>
      <c r="K25" s="43">
        <f t="shared" si="4"/>
        <v>0</v>
      </c>
      <c r="L25" s="47">
        <f t="shared" si="5"/>
        <v>0.12305287799999999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f>104.2821/1000*1.18</f>
        <v>0.12305287799999999</v>
      </c>
      <c r="S25" s="47">
        <v>0</v>
      </c>
      <c r="T25" s="47">
        <v>0</v>
      </c>
      <c r="U25" s="47">
        <f t="shared" si="6"/>
        <v>0</v>
      </c>
      <c r="V25" s="47">
        <f t="shared" si="7"/>
        <v>0</v>
      </c>
      <c r="W25" s="37"/>
      <c r="X25" s="38" t="s">
        <v>38</v>
      </c>
    </row>
    <row r="26" spans="1:24" ht="49.5">
      <c r="A26" s="45" t="s">
        <v>43</v>
      </c>
      <c r="B26" s="46" t="s">
        <v>44</v>
      </c>
      <c r="C26" s="34"/>
      <c r="D26" s="42"/>
      <c r="E26" s="43">
        <v>0</v>
      </c>
      <c r="F26" s="47"/>
      <c r="G26" s="43">
        <f t="shared" si="2"/>
        <v>0</v>
      </c>
      <c r="H26" s="43">
        <f t="shared" si="3"/>
        <v>0</v>
      </c>
      <c r="I26" s="43">
        <v>0</v>
      </c>
      <c r="J26" s="48">
        <v>0</v>
      </c>
      <c r="K26" s="43">
        <f t="shared" si="4"/>
        <v>0</v>
      </c>
      <c r="L26" s="47">
        <f t="shared" si="5"/>
        <v>1.0909989956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f>320.14991/1000*1.18</f>
        <v>0.37777689379999996</v>
      </c>
      <c r="S26" s="47">
        <v>0</v>
      </c>
      <c r="T26" s="47">
        <f>604.42551/1000*1.18</f>
        <v>0.7132221018</v>
      </c>
      <c r="U26" s="47">
        <f t="shared" si="6"/>
        <v>0</v>
      </c>
      <c r="V26" s="47">
        <f t="shared" si="7"/>
        <v>0.7132221018</v>
      </c>
      <c r="W26" s="37"/>
      <c r="X26" s="38" t="s">
        <v>38</v>
      </c>
    </row>
    <row r="27" spans="1:24" ht="49.5">
      <c r="A27" s="45" t="s">
        <v>45</v>
      </c>
      <c r="B27" s="46" t="s">
        <v>46</v>
      </c>
      <c r="C27" s="34"/>
      <c r="D27" s="42"/>
      <c r="E27" s="43">
        <v>0</v>
      </c>
      <c r="F27" s="47"/>
      <c r="G27" s="43">
        <f t="shared" si="2"/>
        <v>0</v>
      </c>
      <c r="H27" s="43">
        <f t="shared" si="3"/>
        <v>0</v>
      </c>
      <c r="I27" s="43">
        <v>0</v>
      </c>
      <c r="J27" s="48">
        <v>0</v>
      </c>
      <c r="K27" s="43">
        <f t="shared" si="4"/>
        <v>0</v>
      </c>
      <c r="L27" s="47">
        <f t="shared" si="5"/>
        <v>0.0389456522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f>33.00479/1000*1.18</f>
        <v>0.0389456522</v>
      </c>
      <c r="U27" s="47">
        <f t="shared" si="6"/>
        <v>0</v>
      </c>
      <c r="V27" s="47">
        <f t="shared" si="7"/>
        <v>0.0389456522</v>
      </c>
      <c r="W27" s="37"/>
      <c r="X27" s="38" t="s">
        <v>38</v>
      </c>
    </row>
    <row r="28" spans="1:24" ht="49.5" customHeight="1">
      <c r="A28" s="45" t="s">
        <v>47</v>
      </c>
      <c r="B28" s="354" t="s">
        <v>48</v>
      </c>
      <c r="C28" s="354"/>
      <c r="D28" s="42"/>
      <c r="E28" s="43">
        <v>0</v>
      </c>
      <c r="F28" s="47"/>
      <c r="G28" s="43">
        <f t="shared" si="2"/>
        <v>0</v>
      </c>
      <c r="H28" s="43">
        <f t="shared" si="3"/>
        <v>0</v>
      </c>
      <c r="I28" s="43">
        <v>0</v>
      </c>
      <c r="J28" s="48">
        <v>0</v>
      </c>
      <c r="K28" s="43">
        <f t="shared" si="4"/>
        <v>0</v>
      </c>
      <c r="L28" s="47">
        <f t="shared" si="5"/>
        <v>0.24445827539999995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f>207.16803/1000*1.18</f>
        <v>0.24445827539999995</v>
      </c>
      <c r="U28" s="47">
        <f t="shared" si="6"/>
        <v>0</v>
      </c>
      <c r="V28" s="47">
        <f t="shared" si="7"/>
        <v>0.24445827539999995</v>
      </c>
      <c r="W28" s="37"/>
      <c r="X28" s="38" t="s">
        <v>38</v>
      </c>
    </row>
    <row r="29" spans="1:24" ht="49.5" customHeight="1">
      <c r="A29" s="45" t="s">
        <v>49</v>
      </c>
      <c r="B29" s="354" t="s">
        <v>50</v>
      </c>
      <c r="C29" s="354"/>
      <c r="D29" s="42"/>
      <c r="E29" s="43">
        <v>0</v>
      </c>
      <c r="F29" s="47"/>
      <c r="G29" s="43">
        <f t="shared" si="2"/>
        <v>0</v>
      </c>
      <c r="H29" s="43">
        <f t="shared" si="3"/>
        <v>0</v>
      </c>
      <c r="I29" s="43">
        <v>0</v>
      </c>
      <c r="J29" s="48">
        <v>0</v>
      </c>
      <c r="K29" s="43">
        <f t="shared" si="4"/>
        <v>0</v>
      </c>
      <c r="L29" s="47">
        <f t="shared" si="5"/>
        <v>0.255813911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f>216.79145/1000*1.18</f>
        <v>0.255813911</v>
      </c>
      <c r="U29" s="47">
        <f t="shared" si="6"/>
        <v>0</v>
      </c>
      <c r="V29" s="47">
        <f t="shared" si="7"/>
        <v>0.255813911</v>
      </c>
      <c r="W29" s="37"/>
      <c r="X29" s="38" t="s">
        <v>38</v>
      </c>
    </row>
    <row r="30" spans="1:24" ht="49.5" customHeight="1">
      <c r="A30" s="45" t="s">
        <v>51</v>
      </c>
      <c r="B30" s="354" t="s">
        <v>52</v>
      </c>
      <c r="C30" s="354"/>
      <c r="D30" s="42"/>
      <c r="E30" s="43">
        <v>0</v>
      </c>
      <c r="F30" s="47"/>
      <c r="G30" s="43">
        <f t="shared" si="2"/>
        <v>0</v>
      </c>
      <c r="H30" s="43">
        <f t="shared" si="3"/>
        <v>0</v>
      </c>
      <c r="I30" s="43">
        <v>0</v>
      </c>
      <c r="J30" s="48">
        <v>0</v>
      </c>
      <c r="K30" s="43">
        <f t="shared" si="4"/>
        <v>0</v>
      </c>
      <c r="L30" s="47">
        <f t="shared" si="5"/>
        <v>0.23348722539999997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f>197.87053/1000*1.18</f>
        <v>0.23348722539999997</v>
      </c>
      <c r="U30" s="47">
        <f t="shared" si="6"/>
        <v>0</v>
      </c>
      <c r="V30" s="47">
        <f t="shared" si="7"/>
        <v>0.23348722539999997</v>
      </c>
      <c r="W30" s="37"/>
      <c r="X30" s="38" t="s">
        <v>38</v>
      </c>
    </row>
    <row r="31" spans="1:25" s="53" customFormat="1" ht="33">
      <c r="A31" s="49" t="s">
        <v>53</v>
      </c>
      <c r="B31" s="33" t="s">
        <v>54</v>
      </c>
      <c r="C31" s="50"/>
      <c r="D31" s="35"/>
      <c r="E31" s="36">
        <f>E32+E48+E35+E54</f>
        <v>14.38992857904</v>
      </c>
      <c r="F31" s="36"/>
      <c r="G31" s="36">
        <f aca="true" t="shared" si="8" ref="G31:V31">G32+G48+G35+G54</f>
        <v>14.38992857904</v>
      </c>
      <c r="H31" s="36">
        <f t="shared" si="8"/>
        <v>14.38992857904</v>
      </c>
      <c r="I31" s="36">
        <f t="shared" si="8"/>
        <v>0</v>
      </c>
      <c r="J31" s="36">
        <f t="shared" si="8"/>
        <v>14.38992857904</v>
      </c>
      <c r="K31" s="36">
        <f t="shared" si="8"/>
        <v>14.38992857904</v>
      </c>
      <c r="L31" s="36">
        <f t="shared" si="8"/>
        <v>2.3356089752</v>
      </c>
      <c r="M31" s="36">
        <f t="shared" si="8"/>
        <v>0</v>
      </c>
      <c r="N31" s="36">
        <f t="shared" si="8"/>
        <v>0.5136477224</v>
      </c>
      <c r="O31" s="36">
        <f t="shared" si="8"/>
        <v>0.28258256736</v>
      </c>
      <c r="P31" s="36">
        <f t="shared" si="8"/>
        <v>0.9198237115999999</v>
      </c>
      <c r="Q31" s="36">
        <f t="shared" si="8"/>
        <v>2.4961460116799996</v>
      </c>
      <c r="R31" s="36">
        <f t="shared" si="8"/>
        <v>0.41146538639999997</v>
      </c>
      <c r="S31" s="36">
        <f t="shared" si="8"/>
        <v>11.6112</v>
      </c>
      <c r="T31" s="36">
        <f t="shared" si="8"/>
        <v>0.49067215480000004</v>
      </c>
      <c r="U31" s="36">
        <f t="shared" si="8"/>
        <v>0</v>
      </c>
      <c r="V31" s="36">
        <f t="shared" si="8"/>
        <v>-11.1205278452</v>
      </c>
      <c r="W31" s="37">
        <f>V31/S31</f>
        <v>-0.9577414776422764</v>
      </c>
      <c r="X31" s="51"/>
      <c r="Y31" s="52">
        <f>(P31-O31)/O31</f>
        <v>2.2550617690021113</v>
      </c>
    </row>
    <row r="32" spans="1:25" s="53" customFormat="1" ht="18.75">
      <c r="A32" s="49" t="s">
        <v>55</v>
      </c>
      <c r="B32" s="33" t="s">
        <v>56</v>
      </c>
      <c r="C32" s="50"/>
      <c r="D32" s="35"/>
      <c r="E32" s="36">
        <f>E33</f>
        <v>6.372</v>
      </c>
      <c r="F32" s="36"/>
      <c r="G32" s="36">
        <f>G33</f>
        <v>6.372</v>
      </c>
      <c r="H32" s="36">
        <f>H33</f>
        <v>6.372</v>
      </c>
      <c r="I32" s="36">
        <f>I33</f>
        <v>0</v>
      </c>
      <c r="J32" s="36">
        <f>J33</f>
        <v>6.372</v>
      </c>
      <c r="K32" s="36">
        <f>K33</f>
        <v>6.372</v>
      </c>
      <c r="L32" s="36">
        <f aca="true" t="shared" si="9" ref="L32:T32">L33+L34</f>
        <v>0.051919999999999994</v>
      </c>
      <c r="M32" s="36">
        <f t="shared" si="9"/>
        <v>0</v>
      </c>
      <c r="N32" s="36">
        <f t="shared" si="9"/>
        <v>0</v>
      </c>
      <c r="O32" s="36">
        <f t="shared" si="9"/>
        <v>0</v>
      </c>
      <c r="P32" s="36">
        <f t="shared" si="9"/>
        <v>0.051919999999999994</v>
      </c>
      <c r="Q32" s="36">
        <f t="shared" si="9"/>
        <v>0</v>
      </c>
      <c r="R32" s="36">
        <f t="shared" si="9"/>
        <v>0</v>
      </c>
      <c r="S32" s="36">
        <f t="shared" si="9"/>
        <v>6.372</v>
      </c>
      <c r="T32" s="36">
        <f t="shared" si="9"/>
        <v>0</v>
      </c>
      <c r="U32" s="36">
        <f>U33</f>
        <v>0</v>
      </c>
      <c r="V32" s="36">
        <f>V33+V34</f>
        <v>-6.372</v>
      </c>
      <c r="W32" s="37"/>
      <c r="X32" s="51"/>
      <c r="Y32" s="54">
        <f>S31-T31</f>
        <v>11.1205278452</v>
      </c>
    </row>
    <row r="33" spans="1:24" ht="132">
      <c r="A33" s="55" t="s">
        <v>57</v>
      </c>
      <c r="B33" s="46" t="s">
        <v>58</v>
      </c>
      <c r="C33" s="34"/>
      <c r="D33" s="42"/>
      <c r="E33" s="43">
        <v>6.372</v>
      </c>
      <c r="F33" s="36" t="s">
        <v>33</v>
      </c>
      <c r="G33" s="43">
        <f>E33</f>
        <v>6.372</v>
      </c>
      <c r="H33" s="43">
        <f aca="true" t="shared" si="10" ref="H33:H47">G33</f>
        <v>6.372</v>
      </c>
      <c r="I33" s="43">
        <v>0</v>
      </c>
      <c r="J33" s="48">
        <f>H33-I33</f>
        <v>6.372</v>
      </c>
      <c r="K33" s="43">
        <f>M33+O33+Q33+S33</f>
        <v>6.372</v>
      </c>
      <c r="L33" s="47">
        <f aca="true" t="shared" si="11" ref="L33:L47">N33+P33+R33+T33</f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f>E33</f>
        <v>6.372</v>
      </c>
      <c r="T33" s="47">
        <v>0</v>
      </c>
      <c r="U33" s="47">
        <f>J33-K33</f>
        <v>0</v>
      </c>
      <c r="V33" s="47">
        <f>T33-S33</f>
        <v>-6.372</v>
      </c>
      <c r="W33" s="37"/>
      <c r="X33" s="38" t="s">
        <v>59</v>
      </c>
    </row>
    <row r="34" spans="1:24" ht="33">
      <c r="A34" s="55" t="s">
        <v>60</v>
      </c>
      <c r="B34" s="46" t="s">
        <v>61</v>
      </c>
      <c r="C34" s="34"/>
      <c r="D34" s="42"/>
      <c r="E34" s="43">
        <v>0</v>
      </c>
      <c r="F34" s="36"/>
      <c r="G34" s="43">
        <v>0</v>
      </c>
      <c r="H34" s="43">
        <f t="shared" si="10"/>
        <v>0</v>
      </c>
      <c r="I34" s="43">
        <v>0</v>
      </c>
      <c r="J34" s="48">
        <v>0</v>
      </c>
      <c r="K34" s="43">
        <v>0</v>
      </c>
      <c r="L34" s="47">
        <f t="shared" si="11"/>
        <v>0.051919999999999994</v>
      </c>
      <c r="M34" s="47">
        <v>0</v>
      </c>
      <c r="N34" s="47">
        <v>0</v>
      </c>
      <c r="O34" s="47">
        <v>0</v>
      </c>
      <c r="P34" s="56">
        <f>22000*2/1000000*1.18</f>
        <v>0.051919999999999994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f>T34-S34</f>
        <v>0</v>
      </c>
      <c r="W34" s="37"/>
      <c r="X34" s="38"/>
    </row>
    <row r="35" spans="1:24" ht="18.75">
      <c r="A35" s="49" t="s">
        <v>62</v>
      </c>
      <c r="B35" s="33" t="s">
        <v>63</v>
      </c>
      <c r="C35" s="34"/>
      <c r="D35" s="57"/>
      <c r="E35" s="58">
        <f>SUM(E36:E47)</f>
        <v>8.01792857904</v>
      </c>
      <c r="F35" s="36"/>
      <c r="G35" s="58">
        <f>SUM(G36:G47)</f>
        <v>8.01792857904</v>
      </c>
      <c r="H35" s="58">
        <f t="shared" si="10"/>
        <v>8.01792857904</v>
      </c>
      <c r="I35" s="58"/>
      <c r="J35" s="58">
        <f>SUM(J36:J47)</f>
        <v>8.01792857904</v>
      </c>
      <c r="K35" s="58">
        <f aca="true" t="shared" si="12" ref="K35:K47">M35+O35+Q35+S35</f>
        <v>8.01792857904</v>
      </c>
      <c r="L35" s="58">
        <f t="shared" si="11"/>
        <v>0.1483197696</v>
      </c>
      <c r="M35" s="58">
        <f aca="true" t="shared" si="13" ref="M35:V35">SUM(M36:M47)</f>
        <v>0</v>
      </c>
      <c r="N35" s="58">
        <f t="shared" si="13"/>
        <v>0</v>
      </c>
      <c r="O35" s="58">
        <f t="shared" si="13"/>
        <v>0.28258256736</v>
      </c>
      <c r="P35" s="58">
        <f t="shared" si="13"/>
        <v>0</v>
      </c>
      <c r="Q35" s="58">
        <f t="shared" si="13"/>
        <v>2.4961460116799996</v>
      </c>
      <c r="R35" s="58">
        <f t="shared" si="13"/>
        <v>0</v>
      </c>
      <c r="S35" s="267">
        <f t="shared" si="13"/>
        <v>5.2392</v>
      </c>
      <c r="T35" s="58">
        <f t="shared" si="13"/>
        <v>0.1483197696</v>
      </c>
      <c r="U35" s="58">
        <f t="shared" si="13"/>
        <v>0</v>
      </c>
      <c r="V35" s="58">
        <f t="shared" si="13"/>
        <v>-5.0908802304</v>
      </c>
      <c r="W35" s="37">
        <f>V35/S35</f>
        <v>-0.9716903783783782</v>
      </c>
      <c r="X35" s="38"/>
    </row>
    <row r="36" spans="1:24" ht="132">
      <c r="A36" s="45" t="s">
        <v>64</v>
      </c>
      <c r="B36" s="46" t="s">
        <v>65</v>
      </c>
      <c r="C36" s="34"/>
      <c r="D36" s="47" t="s">
        <v>66</v>
      </c>
      <c r="E36" s="47">
        <v>0.28258256736</v>
      </c>
      <c r="F36" s="36" t="s">
        <v>33</v>
      </c>
      <c r="G36" s="47">
        <f aca="true" t="shared" si="14" ref="G36:G47">E36</f>
        <v>0.28258256736</v>
      </c>
      <c r="H36" s="47">
        <f t="shared" si="10"/>
        <v>0.28258256736</v>
      </c>
      <c r="I36" s="47">
        <v>0</v>
      </c>
      <c r="J36" s="48">
        <f aca="true" t="shared" si="15" ref="J36:J47">H36-I36</f>
        <v>0.28258256736</v>
      </c>
      <c r="K36" s="47">
        <f t="shared" si="12"/>
        <v>0.28258256736</v>
      </c>
      <c r="L36" s="47">
        <f t="shared" si="11"/>
        <v>0</v>
      </c>
      <c r="M36" s="47">
        <v>0</v>
      </c>
      <c r="N36" s="47">
        <v>0</v>
      </c>
      <c r="O36" s="47">
        <f>E36</f>
        <v>0.28258256736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f aca="true" t="shared" si="16" ref="U36:U44">J36-K36</f>
        <v>0</v>
      </c>
      <c r="V36" s="47">
        <f aca="true" t="shared" si="17" ref="V36:V47">T36-S36</f>
        <v>0</v>
      </c>
      <c r="W36" s="37"/>
      <c r="X36" s="38" t="s">
        <v>59</v>
      </c>
    </row>
    <row r="37" spans="1:24" ht="132">
      <c r="A37" s="45" t="s">
        <v>67</v>
      </c>
      <c r="B37" s="46" t="s">
        <v>68</v>
      </c>
      <c r="C37" s="34"/>
      <c r="D37" s="47" t="s">
        <v>66</v>
      </c>
      <c r="E37" s="47">
        <v>0.4709709456</v>
      </c>
      <c r="F37" s="36" t="s">
        <v>33</v>
      </c>
      <c r="G37" s="47">
        <f t="shared" si="14"/>
        <v>0.4709709456</v>
      </c>
      <c r="H37" s="47">
        <f t="shared" si="10"/>
        <v>0.4709709456</v>
      </c>
      <c r="I37" s="47">
        <v>0</v>
      </c>
      <c r="J37" s="48">
        <f t="shared" si="15"/>
        <v>0.4709709456</v>
      </c>
      <c r="K37" s="47">
        <f t="shared" si="12"/>
        <v>0.4709709456</v>
      </c>
      <c r="L37" s="47">
        <f t="shared" si="11"/>
        <v>0</v>
      </c>
      <c r="M37" s="47">
        <v>0</v>
      </c>
      <c r="N37" s="47">
        <v>0</v>
      </c>
      <c r="O37" s="47">
        <v>0</v>
      </c>
      <c r="P37" s="47">
        <v>0</v>
      </c>
      <c r="Q37" s="47">
        <f aca="true" t="shared" si="18" ref="Q37:Q45">E37</f>
        <v>0.4709709456</v>
      </c>
      <c r="R37" s="47">
        <v>0</v>
      </c>
      <c r="S37" s="47">
        <v>0</v>
      </c>
      <c r="T37" s="47">
        <v>0</v>
      </c>
      <c r="U37" s="47">
        <f t="shared" si="16"/>
        <v>0</v>
      </c>
      <c r="V37" s="47">
        <f t="shared" si="17"/>
        <v>0</v>
      </c>
      <c r="W37" s="59"/>
      <c r="X37" s="38" t="s">
        <v>59</v>
      </c>
    </row>
    <row r="38" spans="1:24" ht="132">
      <c r="A38" s="45" t="s">
        <v>69</v>
      </c>
      <c r="B38" s="46" t="s">
        <v>70</v>
      </c>
      <c r="C38" s="34"/>
      <c r="D38" s="47" t="s">
        <v>66</v>
      </c>
      <c r="E38" s="47">
        <v>0.207227216064</v>
      </c>
      <c r="F38" s="36" t="s">
        <v>33</v>
      </c>
      <c r="G38" s="47">
        <f t="shared" si="14"/>
        <v>0.207227216064</v>
      </c>
      <c r="H38" s="47">
        <f t="shared" si="10"/>
        <v>0.207227216064</v>
      </c>
      <c r="I38" s="47">
        <v>0</v>
      </c>
      <c r="J38" s="48">
        <f t="shared" si="15"/>
        <v>0.207227216064</v>
      </c>
      <c r="K38" s="47">
        <f t="shared" si="12"/>
        <v>0.207227216064</v>
      </c>
      <c r="L38" s="47">
        <f t="shared" si="11"/>
        <v>0</v>
      </c>
      <c r="M38" s="47">
        <v>0</v>
      </c>
      <c r="N38" s="47">
        <v>0</v>
      </c>
      <c r="O38" s="47">
        <v>0</v>
      </c>
      <c r="P38" s="47">
        <v>0</v>
      </c>
      <c r="Q38" s="47">
        <f t="shared" si="18"/>
        <v>0.207227216064</v>
      </c>
      <c r="R38" s="47">
        <v>0</v>
      </c>
      <c r="S38" s="47">
        <v>0</v>
      </c>
      <c r="T38" s="47">
        <v>0</v>
      </c>
      <c r="U38" s="47">
        <f t="shared" si="16"/>
        <v>0</v>
      </c>
      <c r="V38" s="47">
        <f t="shared" si="17"/>
        <v>0</v>
      </c>
      <c r="W38" s="59"/>
      <c r="X38" s="38" t="s">
        <v>59</v>
      </c>
    </row>
    <row r="39" spans="1:24" ht="132">
      <c r="A39" s="45" t="s">
        <v>71</v>
      </c>
      <c r="B39" s="46" t="s">
        <v>72</v>
      </c>
      <c r="C39" s="34"/>
      <c r="D39" s="47" t="s">
        <v>66</v>
      </c>
      <c r="E39" s="47">
        <v>0.150710702592</v>
      </c>
      <c r="F39" s="36" t="s">
        <v>33</v>
      </c>
      <c r="G39" s="47">
        <f t="shared" si="14"/>
        <v>0.150710702592</v>
      </c>
      <c r="H39" s="47">
        <f t="shared" si="10"/>
        <v>0.150710702592</v>
      </c>
      <c r="I39" s="47">
        <v>0</v>
      </c>
      <c r="J39" s="48">
        <f t="shared" si="15"/>
        <v>0.150710702592</v>
      </c>
      <c r="K39" s="47">
        <f t="shared" si="12"/>
        <v>0.150710702592</v>
      </c>
      <c r="L39" s="47">
        <f t="shared" si="11"/>
        <v>0</v>
      </c>
      <c r="M39" s="47">
        <v>0</v>
      </c>
      <c r="N39" s="47">
        <v>0</v>
      </c>
      <c r="O39" s="47">
        <v>0</v>
      </c>
      <c r="P39" s="47">
        <v>0</v>
      </c>
      <c r="Q39" s="47">
        <f t="shared" si="18"/>
        <v>0.150710702592</v>
      </c>
      <c r="R39" s="47">
        <v>0</v>
      </c>
      <c r="S39" s="47">
        <v>0</v>
      </c>
      <c r="T39" s="47">
        <v>0</v>
      </c>
      <c r="U39" s="47">
        <f t="shared" si="16"/>
        <v>0</v>
      </c>
      <c r="V39" s="47">
        <f t="shared" si="17"/>
        <v>0</v>
      </c>
      <c r="W39" s="37"/>
      <c r="X39" s="38" t="s">
        <v>59</v>
      </c>
    </row>
    <row r="40" spans="1:24" ht="132">
      <c r="A40" s="45" t="s">
        <v>73</v>
      </c>
      <c r="B40" s="46" t="s">
        <v>74</v>
      </c>
      <c r="C40" s="34"/>
      <c r="D40" s="47" t="s">
        <v>66</v>
      </c>
      <c r="E40" s="47">
        <v>0.09419418912000001</v>
      </c>
      <c r="F40" s="36" t="s">
        <v>33</v>
      </c>
      <c r="G40" s="47">
        <f t="shared" si="14"/>
        <v>0.09419418912000001</v>
      </c>
      <c r="H40" s="47">
        <f t="shared" si="10"/>
        <v>0.09419418912000001</v>
      </c>
      <c r="I40" s="47">
        <v>0</v>
      </c>
      <c r="J40" s="48">
        <f t="shared" si="15"/>
        <v>0.09419418912000001</v>
      </c>
      <c r="K40" s="47">
        <f t="shared" si="12"/>
        <v>0.09419418912000001</v>
      </c>
      <c r="L40" s="47">
        <f t="shared" si="11"/>
        <v>0</v>
      </c>
      <c r="M40" s="47">
        <v>0</v>
      </c>
      <c r="N40" s="47">
        <v>0</v>
      </c>
      <c r="O40" s="47">
        <v>0</v>
      </c>
      <c r="P40" s="47">
        <v>0</v>
      </c>
      <c r="Q40" s="47">
        <f t="shared" si="18"/>
        <v>0.09419418912000001</v>
      </c>
      <c r="R40" s="47">
        <v>0</v>
      </c>
      <c r="S40" s="47">
        <v>0</v>
      </c>
      <c r="T40" s="47">
        <v>0</v>
      </c>
      <c r="U40" s="47">
        <f t="shared" si="16"/>
        <v>0</v>
      </c>
      <c r="V40" s="47">
        <f t="shared" si="17"/>
        <v>0</v>
      </c>
      <c r="W40" s="59"/>
      <c r="X40" s="38" t="s">
        <v>59</v>
      </c>
    </row>
    <row r="41" spans="1:24" ht="132">
      <c r="A41" s="45" t="s">
        <v>75</v>
      </c>
      <c r="B41" s="46" t="s">
        <v>76</v>
      </c>
      <c r="C41" s="34"/>
      <c r="D41" s="47" t="s">
        <v>66</v>
      </c>
      <c r="E41" s="47">
        <v>0.461551526688</v>
      </c>
      <c r="F41" s="36" t="s">
        <v>33</v>
      </c>
      <c r="G41" s="47">
        <f t="shared" si="14"/>
        <v>0.461551526688</v>
      </c>
      <c r="H41" s="47">
        <f t="shared" si="10"/>
        <v>0.461551526688</v>
      </c>
      <c r="I41" s="47">
        <v>0</v>
      </c>
      <c r="J41" s="48">
        <f t="shared" si="15"/>
        <v>0.461551526688</v>
      </c>
      <c r="K41" s="47">
        <f t="shared" si="12"/>
        <v>0.461551526688</v>
      </c>
      <c r="L41" s="47">
        <f t="shared" si="11"/>
        <v>0</v>
      </c>
      <c r="M41" s="47">
        <v>0</v>
      </c>
      <c r="N41" s="47">
        <v>0</v>
      </c>
      <c r="O41" s="47">
        <v>0</v>
      </c>
      <c r="P41" s="47">
        <v>0</v>
      </c>
      <c r="Q41" s="47">
        <f t="shared" si="18"/>
        <v>0.461551526688</v>
      </c>
      <c r="R41" s="47">
        <v>0</v>
      </c>
      <c r="S41" s="47">
        <v>0</v>
      </c>
      <c r="T41" s="47">
        <v>0</v>
      </c>
      <c r="U41" s="47">
        <f t="shared" si="16"/>
        <v>0</v>
      </c>
      <c r="V41" s="47">
        <f t="shared" si="17"/>
        <v>0</v>
      </c>
      <c r="W41" s="59"/>
      <c r="X41" s="38" t="s">
        <v>59</v>
      </c>
    </row>
    <row r="42" spans="1:24" ht="132">
      <c r="A42" s="45" t="s">
        <v>77</v>
      </c>
      <c r="B42" s="46" t="s">
        <v>78</v>
      </c>
      <c r="C42" s="34"/>
      <c r="D42" s="47" t="s">
        <v>66</v>
      </c>
      <c r="E42" s="47">
        <v>0.28258256736</v>
      </c>
      <c r="F42" s="36" t="s">
        <v>33</v>
      </c>
      <c r="G42" s="47">
        <f t="shared" si="14"/>
        <v>0.28258256736</v>
      </c>
      <c r="H42" s="47">
        <f t="shared" si="10"/>
        <v>0.28258256736</v>
      </c>
      <c r="I42" s="47">
        <v>0</v>
      </c>
      <c r="J42" s="48">
        <f t="shared" si="15"/>
        <v>0.28258256736</v>
      </c>
      <c r="K42" s="47">
        <f t="shared" si="12"/>
        <v>0.28258256736</v>
      </c>
      <c r="L42" s="47">
        <f t="shared" si="11"/>
        <v>0</v>
      </c>
      <c r="M42" s="47">
        <v>0</v>
      </c>
      <c r="N42" s="47">
        <v>0</v>
      </c>
      <c r="O42" s="47">
        <v>0</v>
      </c>
      <c r="P42" s="47">
        <v>0</v>
      </c>
      <c r="Q42" s="47">
        <f t="shared" si="18"/>
        <v>0.28258256736</v>
      </c>
      <c r="R42" s="47">
        <v>0</v>
      </c>
      <c r="S42" s="47">
        <v>0</v>
      </c>
      <c r="T42" s="47">
        <v>0</v>
      </c>
      <c r="U42" s="47">
        <f t="shared" si="16"/>
        <v>0</v>
      </c>
      <c r="V42" s="47">
        <f t="shared" si="17"/>
        <v>0</v>
      </c>
      <c r="W42" s="37"/>
      <c r="X42" s="38" t="s">
        <v>59</v>
      </c>
    </row>
    <row r="43" spans="1:24" ht="132">
      <c r="A43" s="45" t="s">
        <v>79</v>
      </c>
      <c r="B43" s="46" t="s">
        <v>80</v>
      </c>
      <c r="C43" s="34"/>
      <c r="D43" s="47" t="s">
        <v>66</v>
      </c>
      <c r="E43" s="47">
        <v>0.16954954041599998</v>
      </c>
      <c r="F43" s="36" t="s">
        <v>33</v>
      </c>
      <c r="G43" s="47">
        <f t="shared" si="14"/>
        <v>0.16954954041599998</v>
      </c>
      <c r="H43" s="47">
        <f t="shared" si="10"/>
        <v>0.16954954041599998</v>
      </c>
      <c r="I43" s="47">
        <v>0</v>
      </c>
      <c r="J43" s="48">
        <f t="shared" si="15"/>
        <v>0.16954954041599998</v>
      </c>
      <c r="K43" s="47">
        <f t="shared" si="12"/>
        <v>0.16954954041599998</v>
      </c>
      <c r="L43" s="47">
        <f t="shared" si="11"/>
        <v>0</v>
      </c>
      <c r="M43" s="47">
        <v>0</v>
      </c>
      <c r="N43" s="47">
        <v>0</v>
      </c>
      <c r="O43" s="47">
        <v>0</v>
      </c>
      <c r="P43" s="47">
        <v>0</v>
      </c>
      <c r="Q43" s="47">
        <f t="shared" si="18"/>
        <v>0.16954954041599998</v>
      </c>
      <c r="R43" s="47">
        <v>0</v>
      </c>
      <c r="S43" s="47">
        <v>0</v>
      </c>
      <c r="T43" s="47">
        <v>0</v>
      </c>
      <c r="U43" s="47">
        <f t="shared" si="16"/>
        <v>0</v>
      </c>
      <c r="V43" s="47">
        <f t="shared" si="17"/>
        <v>0</v>
      </c>
      <c r="W43" s="59"/>
      <c r="X43" s="38" t="s">
        <v>59</v>
      </c>
    </row>
    <row r="44" spans="1:24" ht="132">
      <c r="A44" s="45" t="s">
        <v>81</v>
      </c>
      <c r="B44" s="46" t="s">
        <v>82</v>
      </c>
      <c r="C44" s="34"/>
      <c r="D44" s="47" t="s">
        <v>66</v>
      </c>
      <c r="E44" s="47">
        <v>0.65935932384</v>
      </c>
      <c r="F44" s="36" t="s">
        <v>33</v>
      </c>
      <c r="G44" s="47">
        <f t="shared" si="14"/>
        <v>0.65935932384</v>
      </c>
      <c r="H44" s="47">
        <f t="shared" si="10"/>
        <v>0.65935932384</v>
      </c>
      <c r="I44" s="47">
        <v>0</v>
      </c>
      <c r="J44" s="48">
        <f t="shared" si="15"/>
        <v>0.65935932384</v>
      </c>
      <c r="K44" s="47">
        <f t="shared" si="12"/>
        <v>0.65935932384</v>
      </c>
      <c r="L44" s="47">
        <f t="shared" si="11"/>
        <v>0</v>
      </c>
      <c r="M44" s="47">
        <v>0</v>
      </c>
      <c r="N44" s="47">
        <v>0</v>
      </c>
      <c r="O44" s="47">
        <v>0</v>
      </c>
      <c r="P44" s="47">
        <v>0</v>
      </c>
      <c r="Q44" s="47">
        <f t="shared" si="18"/>
        <v>0.65935932384</v>
      </c>
      <c r="R44" s="47">
        <v>0</v>
      </c>
      <c r="S44" s="47">
        <v>0</v>
      </c>
      <c r="T44" s="47">
        <v>0</v>
      </c>
      <c r="U44" s="47">
        <f t="shared" si="16"/>
        <v>0</v>
      </c>
      <c r="V44" s="47">
        <f t="shared" si="17"/>
        <v>0</v>
      </c>
      <c r="W44" s="59"/>
      <c r="X44" s="38" t="s">
        <v>59</v>
      </c>
    </row>
    <row r="45" spans="1:24" ht="33">
      <c r="A45" s="45" t="s">
        <v>83</v>
      </c>
      <c r="B45" s="46" t="s">
        <v>84</v>
      </c>
      <c r="C45" s="34"/>
      <c r="D45" s="47"/>
      <c r="E45" s="47">
        <v>0</v>
      </c>
      <c r="F45" s="36"/>
      <c r="G45" s="47">
        <f t="shared" si="14"/>
        <v>0</v>
      </c>
      <c r="H45" s="47">
        <f t="shared" si="10"/>
        <v>0</v>
      </c>
      <c r="I45" s="47">
        <v>0</v>
      </c>
      <c r="J45" s="48">
        <f t="shared" si="15"/>
        <v>0</v>
      </c>
      <c r="K45" s="47">
        <f t="shared" si="12"/>
        <v>0</v>
      </c>
      <c r="L45" s="47">
        <f t="shared" si="11"/>
        <v>0.1483197696</v>
      </c>
      <c r="M45" s="47">
        <v>0</v>
      </c>
      <c r="N45" s="47">
        <v>0</v>
      </c>
      <c r="O45" s="47">
        <v>0</v>
      </c>
      <c r="P45" s="47">
        <v>0</v>
      </c>
      <c r="Q45" s="47">
        <f t="shared" si="18"/>
        <v>0</v>
      </c>
      <c r="R45" s="47">
        <v>0</v>
      </c>
      <c r="S45" s="47">
        <v>0</v>
      </c>
      <c r="T45" s="47">
        <f>125.69472/1000*1.18</f>
        <v>0.1483197696</v>
      </c>
      <c r="U45" s="47">
        <v>0</v>
      </c>
      <c r="V45" s="47">
        <f t="shared" si="17"/>
        <v>0.1483197696</v>
      </c>
      <c r="W45" s="59"/>
      <c r="X45" s="38"/>
    </row>
    <row r="46" spans="1:24" ht="132">
      <c r="A46" s="45" t="s">
        <v>85</v>
      </c>
      <c r="B46" s="46" t="s">
        <v>86</v>
      </c>
      <c r="C46" s="34"/>
      <c r="D46" s="47" t="s">
        <v>66</v>
      </c>
      <c r="E46" s="47">
        <v>0.944</v>
      </c>
      <c r="F46" s="36" t="s">
        <v>33</v>
      </c>
      <c r="G46" s="47">
        <f t="shared" si="14"/>
        <v>0.944</v>
      </c>
      <c r="H46" s="47">
        <f t="shared" si="10"/>
        <v>0.944</v>
      </c>
      <c r="I46" s="47">
        <v>0</v>
      </c>
      <c r="J46" s="48">
        <f t="shared" si="15"/>
        <v>0.944</v>
      </c>
      <c r="K46" s="47">
        <f t="shared" si="12"/>
        <v>0.944</v>
      </c>
      <c r="L46" s="47">
        <f t="shared" si="11"/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f>G46</f>
        <v>0.944</v>
      </c>
      <c r="T46" s="47">
        <v>0</v>
      </c>
      <c r="U46" s="47">
        <f>J46-K46</f>
        <v>0</v>
      </c>
      <c r="V46" s="47">
        <f t="shared" si="17"/>
        <v>-0.944</v>
      </c>
      <c r="W46" s="59"/>
      <c r="X46" s="38" t="s">
        <v>59</v>
      </c>
    </row>
    <row r="47" spans="1:24" ht="132">
      <c r="A47" s="45" t="s">
        <v>87</v>
      </c>
      <c r="B47" s="46" t="s">
        <v>88</v>
      </c>
      <c r="C47" s="34"/>
      <c r="D47" s="47" t="s">
        <v>66</v>
      </c>
      <c r="E47" s="47">
        <v>4.2952</v>
      </c>
      <c r="F47" s="36" t="s">
        <v>33</v>
      </c>
      <c r="G47" s="47">
        <f t="shared" si="14"/>
        <v>4.2952</v>
      </c>
      <c r="H47" s="47">
        <f t="shared" si="10"/>
        <v>4.2952</v>
      </c>
      <c r="I47" s="47">
        <v>0</v>
      </c>
      <c r="J47" s="48">
        <f t="shared" si="15"/>
        <v>4.2952</v>
      </c>
      <c r="K47" s="47">
        <f t="shared" si="12"/>
        <v>4.2952</v>
      </c>
      <c r="L47" s="47">
        <f t="shared" si="11"/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f>G47</f>
        <v>4.2952</v>
      </c>
      <c r="T47" s="47">
        <v>0</v>
      </c>
      <c r="U47" s="47">
        <f>J47-K47</f>
        <v>0</v>
      </c>
      <c r="V47" s="47">
        <f t="shared" si="17"/>
        <v>-4.2952</v>
      </c>
      <c r="W47" s="59"/>
      <c r="X47" s="38" t="s">
        <v>59</v>
      </c>
    </row>
    <row r="48" spans="1:24" s="53" customFormat="1" ht="33">
      <c r="A48" s="49" t="s">
        <v>89</v>
      </c>
      <c r="B48" s="33" t="s">
        <v>90</v>
      </c>
      <c r="C48" s="50"/>
      <c r="D48" s="35"/>
      <c r="E48" s="36">
        <f>SUM(E49:E53)</f>
        <v>0</v>
      </c>
      <c r="F48" s="36">
        <f>SUM(F49:F51)</f>
        <v>0</v>
      </c>
      <c r="G48" s="36">
        <f>SUM(G49:G53)</f>
        <v>0</v>
      </c>
      <c r="H48" s="36">
        <f>SUM(H49:H51)</f>
        <v>0</v>
      </c>
      <c r="I48" s="36">
        <f>SUM(I49:I51)</f>
        <v>0</v>
      </c>
      <c r="J48" s="36">
        <f>SUM(J49:J51)</f>
        <v>0</v>
      </c>
      <c r="K48" s="36">
        <f aca="true" t="shared" si="19" ref="K48:V48">SUM(K49:K53)</f>
        <v>0</v>
      </c>
      <c r="L48" s="36">
        <f t="shared" si="19"/>
        <v>1.9196780439999999</v>
      </c>
      <c r="M48" s="36">
        <f t="shared" si="19"/>
        <v>0</v>
      </c>
      <c r="N48" s="36">
        <f t="shared" si="19"/>
        <v>0.4493995898</v>
      </c>
      <c r="O48" s="36">
        <f t="shared" si="19"/>
        <v>0</v>
      </c>
      <c r="P48" s="36">
        <f t="shared" si="19"/>
        <v>0.7938922825999999</v>
      </c>
      <c r="Q48" s="36">
        <f t="shared" si="19"/>
        <v>0</v>
      </c>
      <c r="R48" s="36">
        <f t="shared" si="19"/>
        <v>0.3340337864</v>
      </c>
      <c r="S48" s="36">
        <f t="shared" si="19"/>
        <v>0</v>
      </c>
      <c r="T48" s="36">
        <f t="shared" si="19"/>
        <v>0.3423523852</v>
      </c>
      <c r="U48" s="36">
        <f t="shared" si="19"/>
        <v>0</v>
      </c>
      <c r="V48" s="36">
        <f t="shared" si="19"/>
        <v>0.3423523852</v>
      </c>
      <c r="W48" s="59"/>
      <c r="X48" s="51"/>
    </row>
    <row r="49" spans="1:24" ht="33">
      <c r="A49" s="45" t="s">
        <v>57</v>
      </c>
      <c r="B49" s="46" t="s">
        <v>91</v>
      </c>
      <c r="C49" s="34"/>
      <c r="D49" s="42"/>
      <c r="E49" s="60"/>
      <c r="F49" s="47"/>
      <c r="G49" s="43">
        <f aca="true" t="shared" si="20" ref="G49:G65">E49</f>
        <v>0</v>
      </c>
      <c r="H49" s="43">
        <f aca="true" t="shared" si="21" ref="H49:H65">G49</f>
        <v>0</v>
      </c>
      <c r="I49" s="43">
        <v>0</v>
      </c>
      <c r="J49" s="48">
        <f aca="true" t="shared" si="22" ref="J49:J65">H49-I49</f>
        <v>0</v>
      </c>
      <c r="K49" s="43">
        <f aca="true" t="shared" si="23" ref="K49:L53">M49+O49+Q49+S49</f>
        <v>0</v>
      </c>
      <c r="L49" s="47">
        <f t="shared" si="23"/>
        <v>0.4047100044</v>
      </c>
      <c r="M49" s="47">
        <v>0</v>
      </c>
      <c r="N49" s="47">
        <f>342.97458/1000*1.18</f>
        <v>0.4047100044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f aca="true" t="shared" si="24" ref="U49:U65">J49-K49</f>
        <v>0</v>
      </c>
      <c r="V49" s="47">
        <f>T49-S49</f>
        <v>0</v>
      </c>
      <c r="W49" s="59"/>
      <c r="X49" s="38"/>
    </row>
    <row r="50" spans="1:24" ht="18.75">
      <c r="A50" s="45" t="s">
        <v>60</v>
      </c>
      <c r="B50" s="61" t="s">
        <v>92</v>
      </c>
      <c r="C50" s="34"/>
      <c r="D50" s="42"/>
      <c r="E50" s="43">
        <v>0</v>
      </c>
      <c r="F50" s="47"/>
      <c r="G50" s="43">
        <f t="shared" si="20"/>
        <v>0</v>
      </c>
      <c r="H50" s="43">
        <f t="shared" si="21"/>
        <v>0</v>
      </c>
      <c r="I50" s="43">
        <v>0</v>
      </c>
      <c r="J50" s="48">
        <f t="shared" si="22"/>
        <v>0</v>
      </c>
      <c r="K50" s="43">
        <f t="shared" si="23"/>
        <v>0</v>
      </c>
      <c r="L50" s="47">
        <f t="shared" si="23"/>
        <v>0.8092322825999999</v>
      </c>
      <c r="M50" s="47">
        <v>0</v>
      </c>
      <c r="N50" s="47">
        <f>13/1000*1.18</f>
        <v>0.015339999999999998</v>
      </c>
      <c r="O50" s="47">
        <v>0</v>
      </c>
      <c r="P50" s="62">
        <f>672790.07/1000000*1.18</f>
        <v>0.7938922825999999</v>
      </c>
      <c r="Q50" s="47">
        <v>0</v>
      </c>
      <c r="R50" s="47">
        <v>0</v>
      </c>
      <c r="S50" s="47">
        <v>0</v>
      </c>
      <c r="T50" s="47">
        <v>0</v>
      </c>
      <c r="U50" s="47">
        <f t="shared" si="24"/>
        <v>0</v>
      </c>
      <c r="V50" s="47">
        <f>T50-S50</f>
        <v>0</v>
      </c>
      <c r="W50" s="59"/>
      <c r="X50" s="38"/>
    </row>
    <row r="51" spans="1:24" ht="99">
      <c r="A51" s="45" t="s">
        <v>93</v>
      </c>
      <c r="B51" s="61" t="s">
        <v>94</v>
      </c>
      <c r="C51" s="34"/>
      <c r="D51" s="42"/>
      <c r="E51" s="43">
        <v>0</v>
      </c>
      <c r="F51" s="47"/>
      <c r="G51" s="43">
        <f t="shared" si="20"/>
        <v>0</v>
      </c>
      <c r="H51" s="43">
        <f t="shared" si="21"/>
        <v>0</v>
      </c>
      <c r="I51" s="43">
        <v>0</v>
      </c>
      <c r="J51" s="48">
        <f t="shared" si="22"/>
        <v>0</v>
      </c>
      <c r="K51" s="43">
        <f t="shared" si="23"/>
        <v>0</v>
      </c>
      <c r="L51" s="47">
        <f t="shared" si="23"/>
        <v>0.36338337179999997</v>
      </c>
      <c r="M51" s="47">
        <v>0</v>
      </c>
      <c r="N51" s="47">
        <f>24.87253/1000*1.18</f>
        <v>0.0293495854</v>
      </c>
      <c r="O51" s="47">
        <v>0</v>
      </c>
      <c r="P51" s="47">
        <v>0</v>
      </c>
      <c r="Q51" s="47">
        <v>0</v>
      </c>
      <c r="R51" s="47">
        <f>283.07948/1000*1.18</f>
        <v>0.3340337864</v>
      </c>
      <c r="S51" s="47">
        <v>0</v>
      </c>
      <c r="T51" s="47">
        <v>0</v>
      </c>
      <c r="U51" s="47">
        <f t="shared" si="24"/>
        <v>0</v>
      </c>
      <c r="V51" s="47">
        <f>T51-S51</f>
        <v>0</v>
      </c>
      <c r="W51" s="59"/>
      <c r="X51" s="38" t="s">
        <v>95</v>
      </c>
    </row>
    <row r="52" spans="1:24" ht="18.75">
      <c r="A52" s="45" t="s">
        <v>96</v>
      </c>
      <c r="B52" s="61" t="s">
        <v>97</v>
      </c>
      <c r="C52" s="34"/>
      <c r="D52" s="42"/>
      <c r="E52" s="43">
        <v>0</v>
      </c>
      <c r="F52" s="47"/>
      <c r="G52" s="43">
        <f t="shared" si="20"/>
        <v>0</v>
      </c>
      <c r="H52" s="43">
        <f t="shared" si="21"/>
        <v>0</v>
      </c>
      <c r="I52" s="43">
        <v>0</v>
      </c>
      <c r="J52" s="48">
        <f t="shared" si="22"/>
        <v>0</v>
      </c>
      <c r="K52" s="43">
        <f t="shared" si="23"/>
        <v>0</v>
      </c>
      <c r="L52" s="47">
        <f t="shared" si="23"/>
        <v>0.030649709399999996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f>25.97433/1000*1.18</f>
        <v>0.030649709399999996</v>
      </c>
      <c r="U52" s="47">
        <f t="shared" si="24"/>
        <v>0</v>
      </c>
      <c r="V52" s="47">
        <f>T52-S52</f>
        <v>0.030649709399999996</v>
      </c>
      <c r="W52" s="59"/>
      <c r="X52" s="38"/>
    </row>
    <row r="53" spans="1:24" ht="99">
      <c r="A53" s="45" t="s">
        <v>98</v>
      </c>
      <c r="B53" s="61" t="s">
        <v>99</v>
      </c>
      <c r="C53" s="34"/>
      <c r="D53" s="42"/>
      <c r="E53" s="43">
        <v>0</v>
      </c>
      <c r="F53" s="47"/>
      <c r="G53" s="43">
        <f t="shared" si="20"/>
        <v>0</v>
      </c>
      <c r="H53" s="43">
        <f t="shared" si="21"/>
        <v>0</v>
      </c>
      <c r="I53" s="43">
        <v>0</v>
      </c>
      <c r="J53" s="48">
        <f t="shared" si="22"/>
        <v>0</v>
      </c>
      <c r="K53" s="43">
        <f t="shared" si="23"/>
        <v>0</v>
      </c>
      <c r="L53" s="47">
        <f t="shared" si="23"/>
        <v>0.3117026758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f>264.15481/1000*1.18</f>
        <v>0.3117026758</v>
      </c>
      <c r="U53" s="47">
        <f t="shared" si="24"/>
        <v>0</v>
      </c>
      <c r="V53" s="47">
        <f>T53-S53</f>
        <v>0.3117026758</v>
      </c>
      <c r="W53" s="59"/>
      <c r="X53" s="38" t="s">
        <v>95</v>
      </c>
    </row>
    <row r="54" spans="1:24" s="41" customFormat="1" ht="33">
      <c r="A54" s="49" t="s">
        <v>100</v>
      </c>
      <c r="B54" s="33" t="s">
        <v>101</v>
      </c>
      <c r="C54" s="34"/>
      <c r="D54" s="47"/>
      <c r="E54" s="63">
        <f>C54</f>
        <v>0</v>
      </c>
      <c r="F54" s="63">
        <f>D54</f>
        <v>0</v>
      </c>
      <c r="G54" s="63">
        <f t="shared" si="20"/>
        <v>0</v>
      </c>
      <c r="H54" s="63">
        <f t="shared" si="21"/>
        <v>0</v>
      </c>
      <c r="I54" s="63">
        <v>0</v>
      </c>
      <c r="J54" s="36">
        <f t="shared" si="22"/>
        <v>0</v>
      </c>
      <c r="K54" s="58">
        <f>SUM(K55:K65)</f>
        <v>0</v>
      </c>
      <c r="L54" s="58">
        <f>SUM(L55:L65)</f>
        <v>0.21569116160000001</v>
      </c>
      <c r="M54" s="58">
        <f>M55+M56+M57</f>
        <v>0</v>
      </c>
      <c r="N54" s="58">
        <f>N55+N56+N57</f>
        <v>0.0642481326</v>
      </c>
      <c r="O54" s="58">
        <f>O55+O56+O57</f>
        <v>0</v>
      </c>
      <c r="P54" s="58">
        <f>P55+P56+P57</f>
        <v>0.074011429</v>
      </c>
      <c r="Q54" s="58">
        <f>Q55+Q56+Q57</f>
        <v>0</v>
      </c>
      <c r="R54" s="58">
        <f>SUM(R55:R65)</f>
        <v>0.07743159999999999</v>
      </c>
      <c r="S54" s="58">
        <f>S55+S56+S57</f>
        <v>0</v>
      </c>
      <c r="T54" s="58">
        <f>T55+T56+T57</f>
        <v>0</v>
      </c>
      <c r="U54" s="58">
        <f t="shared" si="24"/>
        <v>0</v>
      </c>
      <c r="V54" s="58">
        <f>SUM(V55:V65)</f>
        <v>0</v>
      </c>
      <c r="W54" s="37"/>
      <c r="X54" s="38"/>
    </row>
    <row r="55" spans="1:24" s="41" customFormat="1" ht="99">
      <c r="A55" s="45" t="s">
        <v>102</v>
      </c>
      <c r="B55" s="61" t="s">
        <v>103</v>
      </c>
      <c r="C55" s="34"/>
      <c r="D55" s="42"/>
      <c r="E55" s="43">
        <v>0</v>
      </c>
      <c r="F55" s="43"/>
      <c r="G55" s="43">
        <f t="shared" si="20"/>
        <v>0</v>
      </c>
      <c r="H55" s="43">
        <f t="shared" si="21"/>
        <v>0</v>
      </c>
      <c r="I55" s="43">
        <v>0</v>
      </c>
      <c r="J55" s="48">
        <f t="shared" si="22"/>
        <v>0</v>
      </c>
      <c r="K55" s="43">
        <f aca="true" t="shared" si="25" ref="K55:K65">M55+O55+Q55+S55</f>
        <v>0</v>
      </c>
      <c r="L55" s="47">
        <f aca="true" t="shared" si="26" ref="L55:L65">N55+P55+R55+T55</f>
        <v>0.056524088599999994</v>
      </c>
      <c r="M55" s="47">
        <v>0</v>
      </c>
      <c r="N55" s="47">
        <f>47.90177/1000*1.18</f>
        <v>0.056524088599999994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f t="shared" si="24"/>
        <v>0</v>
      </c>
      <c r="V55" s="47">
        <f aca="true" t="shared" si="27" ref="V55:V65">T55-S55</f>
        <v>0</v>
      </c>
      <c r="W55" s="59"/>
      <c r="X55" s="38" t="s">
        <v>95</v>
      </c>
    </row>
    <row r="56" spans="1:24" s="41" customFormat="1" ht="99">
      <c r="A56" s="45" t="s">
        <v>104</v>
      </c>
      <c r="B56" s="61" t="s">
        <v>105</v>
      </c>
      <c r="C56" s="34"/>
      <c r="D56" s="43"/>
      <c r="E56" s="43">
        <v>0</v>
      </c>
      <c r="F56" s="43"/>
      <c r="G56" s="43">
        <f t="shared" si="20"/>
        <v>0</v>
      </c>
      <c r="H56" s="43">
        <f t="shared" si="21"/>
        <v>0</v>
      </c>
      <c r="I56" s="43">
        <v>0</v>
      </c>
      <c r="J56" s="48">
        <f t="shared" si="22"/>
        <v>0</v>
      </c>
      <c r="K56" s="43">
        <f t="shared" si="25"/>
        <v>0</v>
      </c>
      <c r="L56" s="47">
        <f t="shared" si="26"/>
        <v>0.007724043999999999</v>
      </c>
      <c r="M56" s="47">
        <v>0</v>
      </c>
      <c r="N56" s="47">
        <f>6.5458/1000*1.18</f>
        <v>0.007724043999999999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f t="shared" si="24"/>
        <v>0</v>
      </c>
      <c r="V56" s="47">
        <f t="shared" si="27"/>
        <v>0</v>
      </c>
      <c r="W56" s="59"/>
      <c r="X56" s="38" t="s">
        <v>95</v>
      </c>
    </row>
    <row r="57" spans="1:24" s="41" customFormat="1" ht="99">
      <c r="A57" s="45" t="s">
        <v>106</v>
      </c>
      <c r="B57" s="61" t="s">
        <v>107</v>
      </c>
      <c r="C57" s="34"/>
      <c r="D57" s="43"/>
      <c r="E57" s="43">
        <v>0</v>
      </c>
      <c r="F57" s="43"/>
      <c r="G57" s="43">
        <f t="shared" si="20"/>
        <v>0</v>
      </c>
      <c r="H57" s="43">
        <f t="shared" si="21"/>
        <v>0</v>
      </c>
      <c r="I57" s="43">
        <v>0</v>
      </c>
      <c r="J57" s="48">
        <f t="shared" si="22"/>
        <v>0</v>
      </c>
      <c r="K57" s="43">
        <f t="shared" si="25"/>
        <v>0</v>
      </c>
      <c r="L57" s="47">
        <f t="shared" si="26"/>
        <v>0.074011429</v>
      </c>
      <c r="M57" s="47">
        <v>0</v>
      </c>
      <c r="N57" s="47">
        <v>0</v>
      </c>
      <c r="O57" s="47">
        <v>0</v>
      </c>
      <c r="P57" s="64">
        <f>62721.55/1000000*1.18</f>
        <v>0.074011429</v>
      </c>
      <c r="Q57" s="47">
        <v>0</v>
      </c>
      <c r="R57" s="47">
        <v>0</v>
      </c>
      <c r="S57" s="47">
        <v>0</v>
      </c>
      <c r="T57" s="47">
        <v>0</v>
      </c>
      <c r="U57" s="47">
        <f t="shared" si="24"/>
        <v>0</v>
      </c>
      <c r="V57" s="47">
        <f t="shared" si="27"/>
        <v>0</v>
      </c>
      <c r="W57" s="59"/>
      <c r="X57" s="38" t="s">
        <v>95</v>
      </c>
    </row>
    <row r="58" spans="1:24" s="41" customFormat="1" ht="99">
      <c r="A58" s="45" t="s">
        <v>108</v>
      </c>
      <c r="B58" s="61" t="s">
        <v>109</v>
      </c>
      <c r="C58" s="34"/>
      <c r="D58" s="43"/>
      <c r="E58" s="43">
        <v>0</v>
      </c>
      <c r="F58" s="43"/>
      <c r="G58" s="43">
        <f t="shared" si="20"/>
        <v>0</v>
      </c>
      <c r="H58" s="43">
        <f t="shared" si="21"/>
        <v>0</v>
      </c>
      <c r="I58" s="43">
        <v>0</v>
      </c>
      <c r="J58" s="48">
        <f t="shared" si="22"/>
        <v>0</v>
      </c>
      <c r="K58" s="43">
        <f t="shared" si="25"/>
        <v>0</v>
      </c>
      <c r="L58" s="47">
        <f t="shared" si="26"/>
        <v>0.007764399999999999</v>
      </c>
      <c r="M58" s="47">
        <v>0</v>
      </c>
      <c r="N58" s="47">
        <v>0</v>
      </c>
      <c r="O58" s="47">
        <v>0</v>
      </c>
      <c r="P58" s="64">
        <v>0</v>
      </c>
      <c r="Q58" s="64">
        <v>0</v>
      </c>
      <c r="R58" s="47">
        <f>6.58/1000*1.18</f>
        <v>0.007764399999999999</v>
      </c>
      <c r="S58" s="47">
        <v>0</v>
      </c>
      <c r="T58" s="47">
        <v>0</v>
      </c>
      <c r="U58" s="47">
        <f t="shared" si="24"/>
        <v>0</v>
      </c>
      <c r="V58" s="47">
        <f t="shared" si="27"/>
        <v>0</v>
      </c>
      <c r="W58" s="59"/>
      <c r="X58" s="38" t="s">
        <v>95</v>
      </c>
    </row>
    <row r="59" spans="1:24" s="41" customFormat="1" ht="99">
      <c r="A59" s="45" t="s">
        <v>110</v>
      </c>
      <c r="B59" s="61" t="s">
        <v>111</v>
      </c>
      <c r="C59" s="34"/>
      <c r="D59" s="43"/>
      <c r="E59" s="43">
        <v>0</v>
      </c>
      <c r="F59" s="43"/>
      <c r="G59" s="43">
        <f t="shared" si="20"/>
        <v>0</v>
      </c>
      <c r="H59" s="43">
        <f t="shared" si="21"/>
        <v>0</v>
      </c>
      <c r="I59" s="43">
        <v>0</v>
      </c>
      <c r="J59" s="48">
        <f t="shared" si="22"/>
        <v>0</v>
      </c>
      <c r="K59" s="43">
        <f t="shared" si="25"/>
        <v>0</v>
      </c>
      <c r="L59" s="47">
        <f t="shared" si="26"/>
        <v>0.0077998</v>
      </c>
      <c r="M59" s="47">
        <v>0</v>
      </c>
      <c r="N59" s="47">
        <v>0</v>
      </c>
      <c r="O59" s="47">
        <v>0</v>
      </c>
      <c r="P59" s="64">
        <v>0</v>
      </c>
      <c r="Q59" s="64">
        <v>0</v>
      </c>
      <c r="R59" s="47">
        <f>6.61/1000*1.18</f>
        <v>0.0077998</v>
      </c>
      <c r="S59" s="47">
        <v>0</v>
      </c>
      <c r="T59" s="47">
        <v>0</v>
      </c>
      <c r="U59" s="47">
        <f t="shared" si="24"/>
        <v>0</v>
      </c>
      <c r="V59" s="47">
        <f t="shared" si="27"/>
        <v>0</v>
      </c>
      <c r="W59" s="59"/>
      <c r="X59" s="38" t="s">
        <v>95</v>
      </c>
    </row>
    <row r="60" spans="1:24" s="41" customFormat="1" ht="99">
      <c r="A60" s="45" t="s">
        <v>112</v>
      </c>
      <c r="B60" s="61" t="s">
        <v>113</v>
      </c>
      <c r="C60" s="34"/>
      <c r="D60" s="43"/>
      <c r="E60" s="43">
        <v>0</v>
      </c>
      <c r="F60" s="43"/>
      <c r="G60" s="43">
        <f t="shared" si="20"/>
        <v>0</v>
      </c>
      <c r="H60" s="43">
        <f t="shared" si="21"/>
        <v>0</v>
      </c>
      <c r="I60" s="43">
        <v>0</v>
      </c>
      <c r="J60" s="48">
        <f t="shared" si="22"/>
        <v>0</v>
      </c>
      <c r="K60" s="43">
        <f t="shared" si="25"/>
        <v>0</v>
      </c>
      <c r="L60" s="47">
        <f t="shared" si="26"/>
        <v>0.0155996</v>
      </c>
      <c r="M60" s="47">
        <v>0</v>
      </c>
      <c r="N60" s="47">
        <v>0</v>
      </c>
      <c r="O60" s="47">
        <v>0</v>
      </c>
      <c r="P60" s="64">
        <v>0</v>
      </c>
      <c r="Q60" s="64">
        <v>0</v>
      </c>
      <c r="R60" s="47">
        <f>13.22/1000*1.18</f>
        <v>0.0155996</v>
      </c>
      <c r="S60" s="47">
        <v>0</v>
      </c>
      <c r="T60" s="47">
        <v>0</v>
      </c>
      <c r="U60" s="47">
        <f t="shared" si="24"/>
        <v>0</v>
      </c>
      <c r="V60" s="47">
        <f t="shared" si="27"/>
        <v>0</v>
      </c>
      <c r="W60" s="59"/>
      <c r="X60" s="38" t="s">
        <v>95</v>
      </c>
    </row>
    <row r="61" spans="1:24" s="41" customFormat="1" ht="99">
      <c r="A61" s="45" t="s">
        <v>114</v>
      </c>
      <c r="B61" s="61" t="s">
        <v>115</v>
      </c>
      <c r="C61" s="34"/>
      <c r="D61" s="43"/>
      <c r="E61" s="43">
        <v>0</v>
      </c>
      <c r="F61" s="43"/>
      <c r="G61" s="43">
        <f t="shared" si="20"/>
        <v>0</v>
      </c>
      <c r="H61" s="43">
        <f t="shared" si="21"/>
        <v>0</v>
      </c>
      <c r="I61" s="43">
        <v>0</v>
      </c>
      <c r="J61" s="48">
        <f t="shared" si="22"/>
        <v>0</v>
      </c>
      <c r="K61" s="43">
        <f t="shared" si="25"/>
        <v>0</v>
      </c>
      <c r="L61" s="47">
        <f t="shared" si="26"/>
        <v>0.0037228999999999995</v>
      </c>
      <c r="M61" s="47">
        <v>0</v>
      </c>
      <c r="N61" s="47">
        <v>0</v>
      </c>
      <c r="O61" s="47">
        <v>0</v>
      </c>
      <c r="P61" s="64">
        <v>0</v>
      </c>
      <c r="Q61" s="64">
        <v>0</v>
      </c>
      <c r="R61" s="47">
        <f>3.155/1000*1.18</f>
        <v>0.0037228999999999995</v>
      </c>
      <c r="S61" s="47">
        <v>0</v>
      </c>
      <c r="T61" s="47">
        <v>0</v>
      </c>
      <c r="U61" s="47">
        <f t="shared" si="24"/>
        <v>0</v>
      </c>
      <c r="V61" s="47">
        <f t="shared" si="27"/>
        <v>0</v>
      </c>
      <c r="W61" s="59"/>
      <c r="X61" s="38" t="s">
        <v>95</v>
      </c>
    </row>
    <row r="62" spans="1:24" s="41" customFormat="1" ht="99">
      <c r="A62" s="45" t="s">
        <v>116</v>
      </c>
      <c r="B62" s="61" t="s">
        <v>117</v>
      </c>
      <c r="C62" s="34"/>
      <c r="D62" s="43"/>
      <c r="E62" s="43">
        <v>0</v>
      </c>
      <c r="F62" s="43"/>
      <c r="G62" s="43">
        <f t="shared" si="20"/>
        <v>0</v>
      </c>
      <c r="H62" s="43">
        <f t="shared" si="21"/>
        <v>0</v>
      </c>
      <c r="I62" s="43">
        <v>0</v>
      </c>
      <c r="J62" s="48">
        <f t="shared" si="22"/>
        <v>0</v>
      </c>
      <c r="K62" s="43">
        <f t="shared" si="25"/>
        <v>0</v>
      </c>
      <c r="L62" s="47">
        <f t="shared" si="26"/>
        <v>0.0037228999999999995</v>
      </c>
      <c r="M62" s="47">
        <v>0</v>
      </c>
      <c r="N62" s="47">
        <v>0</v>
      </c>
      <c r="O62" s="47">
        <v>0</v>
      </c>
      <c r="P62" s="64">
        <v>0</v>
      </c>
      <c r="Q62" s="64">
        <v>0</v>
      </c>
      <c r="R62" s="47">
        <f>3.155/1000*1.18</f>
        <v>0.0037228999999999995</v>
      </c>
      <c r="S62" s="47">
        <v>0</v>
      </c>
      <c r="T62" s="47">
        <v>0</v>
      </c>
      <c r="U62" s="47">
        <f t="shared" si="24"/>
        <v>0</v>
      </c>
      <c r="V62" s="47">
        <f t="shared" si="27"/>
        <v>0</v>
      </c>
      <c r="W62" s="59"/>
      <c r="X62" s="38" t="s">
        <v>95</v>
      </c>
    </row>
    <row r="63" spans="1:24" s="41" customFormat="1" ht="99">
      <c r="A63" s="45" t="s">
        <v>118</v>
      </c>
      <c r="B63" s="61" t="s">
        <v>119</v>
      </c>
      <c r="C63" s="34"/>
      <c r="D63" s="43"/>
      <c r="E63" s="43">
        <v>0</v>
      </c>
      <c r="F63" s="43"/>
      <c r="G63" s="43">
        <f t="shared" si="20"/>
        <v>0</v>
      </c>
      <c r="H63" s="43">
        <f t="shared" si="21"/>
        <v>0</v>
      </c>
      <c r="I63" s="43">
        <v>0</v>
      </c>
      <c r="J63" s="48">
        <f t="shared" si="22"/>
        <v>0</v>
      </c>
      <c r="K63" s="43">
        <f t="shared" si="25"/>
        <v>0</v>
      </c>
      <c r="L63" s="47">
        <f t="shared" si="26"/>
        <v>0.007764399999999999</v>
      </c>
      <c r="M63" s="47">
        <v>0</v>
      </c>
      <c r="N63" s="47">
        <v>0</v>
      </c>
      <c r="O63" s="47">
        <v>0</v>
      </c>
      <c r="P63" s="64">
        <v>0</v>
      </c>
      <c r="Q63" s="64">
        <v>0</v>
      </c>
      <c r="R63" s="47">
        <f>6.58/1000*1.18</f>
        <v>0.007764399999999999</v>
      </c>
      <c r="S63" s="47">
        <v>0</v>
      </c>
      <c r="T63" s="47">
        <v>0</v>
      </c>
      <c r="U63" s="47">
        <f t="shared" si="24"/>
        <v>0</v>
      </c>
      <c r="V63" s="47">
        <f t="shared" si="27"/>
        <v>0</v>
      </c>
      <c r="W63" s="59"/>
      <c r="X63" s="38" t="s">
        <v>95</v>
      </c>
    </row>
    <row r="64" spans="1:24" s="41" customFormat="1" ht="99">
      <c r="A64" s="45" t="s">
        <v>120</v>
      </c>
      <c r="B64" s="61" t="s">
        <v>121</v>
      </c>
      <c r="C64" s="34"/>
      <c r="D64" s="43"/>
      <c r="E64" s="43">
        <v>0</v>
      </c>
      <c r="F64" s="43"/>
      <c r="G64" s="43">
        <f t="shared" si="20"/>
        <v>0</v>
      </c>
      <c r="H64" s="43">
        <f t="shared" si="21"/>
        <v>0</v>
      </c>
      <c r="I64" s="43">
        <v>0</v>
      </c>
      <c r="J64" s="48">
        <f t="shared" si="22"/>
        <v>0</v>
      </c>
      <c r="K64" s="43">
        <f t="shared" si="25"/>
        <v>0</v>
      </c>
      <c r="L64" s="47">
        <f t="shared" si="26"/>
        <v>0.015528799999999999</v>
      </c>
      <c r="M64" s="47">
        <v>0</v>
      </c>
      <c r="N64" s="47">
        <v>0</v>
      </c>
      <c r="O64" s="47">
        <v>0</v>
      </c>
      <c r="P64" s="64">
        <v>0</v>
      </c>
      <c r="Q64" s="64">
        <v>0</v>
      </c>
      <c r="R64" s="47">
        <f>13.16/1000*1.18</f>
        <v>0.015528799999999999</v>
      </c>
      <c r="S64" s="47">
        <v>0</v>
      </c>
      <c r="T64" s="47">
        <v>0</v>
      </c>
      <c r="U64" s="47">
        <f t="shared" si="24"/>
        <v>0</v>
      </c>
      <c r="V64" s="47">
        <f t="shared" si="27"/>
        <v>0</v>
      </c>
      <c r="W64" s="59"/>
      <c r="X64" s="38" t="s">
        <v>95</v>
      </c>
    </row>
    <row r="65" spans="1:24" s="41" customFormat="1" ht="99">
      <c r="A65" s="45" t="s">
        <v>122</v>
      </c>
      <c r="B65" s="61" t="s">
        <v>123</v>
      </c>
      <c r="C65" s="34"/>
      <c r="D65" s="43"/>
      <c r="E65" s="43">
        <v>0</v>
      </c>
      <c r="F65" s="43"/>
      <c r="G65" s="43">
        <f t="shared" si="20"/>
        <v>0</v>
      </c>
      <c r="H65" s="43">
        <f t="shared" si="21"/>
        <v>0</v>
      </c>
      <c r="I65" s="43">
        <v>0</v>
      </c>
      <c r="J65" s="48">
        <f t="shared" si="22"/>
        <v>0</v>
      </c>
      <c r="K65" s="43">
        <f t="shared" si="25"/>
        <v>0</v>
      </c>
      <c r="L65" s="47">
        <f t="shared" si="26"/>
        <v>0.015528799999999999</v>
      </c>
      <c r="M65" s="47">
        <v>0</v>
      </c>
      <c r="N65" s="47">
        <v>0</v>
      </c>
      <c r="O65" s="47">
        <v>0</v>
      </c>
      <c r="P65" s="64">
        <v>0</v>
      </c>
      <c r="Q65" s="64">
        <v>0</v>
      </c>
      <c r="R65" s="47">
        <f>13.16/1000*1.18</f>
        <v>0.015528799999999999</v>
      </c>
      <c r="S65" s="47">
        <v>0</v>
      </c>
      <c r="T65" s="47">
        <v>0</v>
      </c>
      <c r="U65" s="47">
        <f t="shared" si="24"/>
        <v>0</v>
      </c>
      <c r="V65" s="47">
        <f t="shared" si="27"/>
        <v>0</v>
      </c>
      <c r="W65" s="59"/>
      <c r="X65" s="38" t="s">
        <v>95</v>
      </c>
    </row>
    <row r="66" spans="1:25" s="67" customFormat="1" ht="18.75">
      <c r="A66" s="65" t="s">
        <v>124</v>
      </c>
      <c r="B66" s="33" t="s">
        <v>125</v>
      </c>
      <c r="C66" s="50"/>
      <c r="D66" s="63"/>
      <c r="E66" s="63">
        <f>SUM(E67:E70)</f>
        <v>7.0594954609599885</v>
      </c>
      <c r="F66" s="36" t="s">
        <v>33</v>
      </c>
      <c r="G66" s="63">
        <f>SUM(G67:G70)</f>
        <v>7.0594954609599885</v>
      </c>
      <c r="H66" s="63">
        <f>SUM(H67:H70)</f>
        <v>7.0594954609599885</v>
      </c>
      <c r="I66" s="63">
        <f>SUM(I67:I70)</f>
        <v>0</v>
      </c>
      <c r="J66" s="63">
        <f>SUM(J67:J70)</f>
        <v>7.0594954609599885</v>
      </c>
      <c r="K66" s="63">
        <f aca="true" t="shared" si="28" ref="K66:T66">SUM(K67:K74)</f>
        <v>7.0594954609599885</v>
      </c>
      <c r="L66" s="63">
        <f t="shared" si="28"/>
        <v>16.7443666974</v>
      </c>
      <c r="M66" s="63">
        <f t="shared" si="28"/>
        <v>0</v>
      </c>
      <c r="N66" s="63">
        <f t="shared" si="28"/>
        <v>0.007343399600000001</v>
      </c>
      <c r="O66" s="63">
        <f t="shared" si="28"/>
        <v>0</v>
      </c>
      <c r="P66" s="63">
        <f t="shared" si="28"/>
        <v>1.1476185816</v>
      </c>
      <c r="Q66" s="63">
        <f t="shared" si="28"/>
        <v>0</v>
      </c>
      <c r="R66" s="63">
        <f t="shared" si="28"/>
        <v>4.805472002</v>
      </c>
      <c r="S66" s="266">
        <f t="shared" si="28"/>
        <v>7.0594954609599885</v>
      </c>
      <c r="T66" s="63">
        <f t="shared" si="28"/>
        <v>10.783932714199999</v>
      </c>
      <c r="U66" s="63">
        <f>SUM(U67:U70)</f>
        <v>0</v>
      </c>
      <c r="V66" s="63">
        <f>SUM(V67:V74)</f>
        <v>3.724437253240011</v>
      </c>
      <c r="W66" s="37">
        <f>V66/S66</f>
        <v>0.5275783905289942</v>
      </c>
      <c r="X66" s="51"/>
      <c r="Y66" s="66">
        <f>S66-T66</f>
        <v>-3.7244372532400103</v>
      </c>
    </row>
    <row r="67" spans="1:24" ht="33">
      <c r="A67" s="45" t="s">
        <v>126</v>
      </c>
      <c r="B67" s="46" t="s">
        <v>127</v>
      </c>
      <c r="C67" s="34"/>
      <c r="D67" s="43"/>
      <c r="E67" s="43">
        <v>4.956</v>
      </c>
      <c r="F67" s="36" t="s">
        <v>33</v>
      </c>
      <c r="G67" s="43">
        <f>E67</f>
        <v>4.956</v>
      </c>
      <c r="H67" s="43">
        <f>G67</f>
        <v>4.956</v>
      </c>
      <c r="I67" s="43">
        <v>0</v>
      </c>
      <c r="J67" s="48">
        <f>H67-I67</f>
        <v>4.956</v>
      </c>
      <c r="K67" s="43">
        <f aca="true" t="shared" si="29" ref="K67:K74">M67+O67+Q67+S67</f>
        <v>4.956</v>
      </c>
      <c r="L67" s="47">
        <f aca="true" t="shared" si="30" ref="L67:L74">N67+P67+R67+T67</f>
        <v>4.6362147242</v>
      </c>
      <c r="M67" s="47">
        <v>0</v>
      </c>
      <c r="N67" s="47">
        <v>0</v>
      </c>
      <c r="O67" s="47">
        <v>0</v>
      </c>
      <c r="P67" s="47">
        <f>0.97255812*1.18</f>
        <v>1.1476185816</v>
      </c>
      <c r="Q67" s="47">
        <v>0</v>
      </c>
      <c r="R67" s="47">
        <f>(3403.86-972.56)/1000*1.18</f>
        <v>2.8689340000000003</v>
      </c>
      <c r="S67" s="133">
        <v>4.956</v>
      </c>
      <c r="T67" s="47">
        <f>301.14407/1000*1.18+228/1000+30.773/1000*1.18</f>
        <v>0.6196621426</v>
      </c>
      <c r="U67" s="47">
        <f>J67-K67</f>
        <v>0</v>
      </c>
      <c r="V67" s="47">
        <f aca="true" t="shared" si="31" ref="V67:V74">T67-S67</f>
        <v>-4.3363378574</v>
      </c>
      <c r="W67" s="59"/>
      <c r="X67" s="38" t="s">
        <v>128</v>
      </c>
    </row>
    <row r="68" spans="1:24" ht="132">
      <c r="A68" s="45" t="s">
        <v>129</v>
      </c>
      <c r="B68" s="46" t="s">
        <v>130</v>
      </c>
      <c r="C68" s="34"/>
      <c r="D68" s="43"/>
      <c r="E68" s="43">
        <v>0.708</v>
      </c>
      <c r="F68" s="36" t="s">
        <v>33</v>
      </c>
      <c r="G68" s="43">
        <f>E68</f>
        <v>0.708</v>
      </c>
      <c r="H68" s="43">
        <f>G68</f>
        <v>0.708</v>
      </c>
      <c r="I68" s="43">
        <v>0</v>
      </c>
      <c r="J68" s="48">
        <f>H68-I68</f>
        <v>0.708</v>
      </c>
      <c r="K68" s="43">
        <f t="shared" si="29"/>
        <v>0.708</v>
      </c>
      <c r="L68" s="47">
        <f t="shared" si="30"/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133">
        <v>0.708</v>
      </c>
      <c r="T68" s="47">
        <v>0</v>
      </c>
      <c r="U68" s="47">
        <f>J68-K68</f>
        <v>0</v>
      </c>
      <c r="V68" s="47">
        <f t="shared" si="31"/>
        <v>-0.708</v>
      </c>
      <c r="W68" s="59"/>
      <c r="X68" s="38" t="s">
        <v>59</v>
      </c>
    </row>
    <row r="69" spans="1:24" ht="49.5">
      <c r="A69" s="45" t="s">
        <v>131</v>
      </c>
      <c r="B69" s="46" t="s">
        <v>132</v>
      </c>
      <c r="C69" s="34"/>
      <c r="D69" s="43"/>
      <c r="E69" s="43">
        <v>1.395495460959988</v>
      </c>
      <c r="F69" s="36" t="s">
        <v>33</v>
      </c>
      <c r="G69" s="43">
        <f>E69</f>
        <v>1.395495460959988</v>
      </c>
      <c r="H69" s="43">
        <f>G69</f>
        <v>1.395495460959988</v>
      </c>
      <c r="I69" s="43">
        <v>0</v>
      </c>
      <c r="J69" s="48">
        <f>H69-I69</f>
        <v>1.395495460959988</v>
      </c>
      <c r="K69" s="43">
        <f t="shared" si="29"/>
        <v>1.395495460959988</v>
      </c>
      <c r="L69" s="47">
        <f t="shared" si="30"/>
        <v>1.851538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f>1569.1/1000*1.18</f>
        <v>1.851538</v>
      </c>
      <c r="S69" s="133">
        <v>1.395495460959988</v>
      </c>
      <c r="T69" s="47">
        <v>0</v>
      </c>
      <c r="U69" s="47">
        <f>J69-K69</f>
        <v>0</v>
      </c>
      <c r="V69" s="47">
        <f t="shared" si="31"/>
        <v>-1.395495460959988</v>
      </c>
      <c r="W69" s="59"/>
      <c r="X69" s="38" t="s">
        <v>133</v>
      </c>
    </row>
    <row r="70" spans="1:24" ht="18.75">
      <c r="A70" s="68" t="s">
        <v>134</v>
      </c>
      <c r="B70" s="69" t="s">
        <v>135</v>
      </c>
      <c r="C70" s="70"/>
      <c r="D70" s="71"/>
      <c r="E70" s="71">
        <v>0</v>
      </c>
      <c r="F70" s="71"/>
      <c r="G70" s="71">
        <f>E70</f>
        <v>0</v>
      </c>
      <c r="H70" s="71">
        <f>G70</f>
        <v>0</v>
      </c>
      <c r="I70" s="71">
        <v>0</v>
      </c>
      <c r="J70" s="72">
        <f>H70-I70</f>
        <v>0</v>
      </c>
      <c r="K70" s="71">
        <f t="shared" si="29"/>
        <v>0</v>
      </c>
      <c r="L70" s="73">
        <f t="shared" si="30"/>
        <v>0.007343399600000001</v>
      </c>
      <c r="M70" s="73">
        <v>0</v>
      </c>
      <c r="N70" s="73">
        <f>6.22322/1000*1.18</f>
        <v>0.007343399600000001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f>J70-K70</f>
        <v>0</v>
      </c>
      <c r="V70" s="47">
        <f t="shared" si="31"/>
        <v>0</v>
      </c>
      <c r="W70" s="74"/>
      <c r="X70" s="75"/>
    </row>
    <row r="71" spans="1:24" ht="33">
      <c r="A71" s="45" t="s">
        <v>136</v>
      </c>
      <c r="B71" s="76" t="s">
        <v>137</v>
      </c>
      <c r="C71" s="34"/>
      <c r="D71" s="43"/>
      <c r="E71" s="43">
        <v>0</v>
      </c>
      <c r="F71" s="43"/>
      <c r="G71" s="43">
        <v>0</v>
      </c>
      <c r="H71" s="43">
        <v>0</v>
      </c>
      <c r="I71" s="43">
        <v>0</v>
      </c>
      <c r="J71" s="48">
        <v>0</v>
      </c>
      <c r="K71" s="71">
        <f t="shared" si="29"/>
        <v>0</v>
      </c>
      <c r="L71" s="73">
        <f t="shared" si="30"/>
        <v>0.08500000199999999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f>72.0339/1000*1.18</f>
        <v>0.08500000199999999</v>
      </c>
      <c r="S71" s="47">
        <v>0</v>
      </c>
      <c r="T71" s="47">
        <v>0</v>
      </c>
      <c r="U71" s="47">
        <v>0</v>
      </c>
      <c r="V71" s="47">
        <f t="shared" si="31"/>
        <v>0</v>
      </c>
      <c r="W71" s="59"/>
      <c r="X71" s="38"/>
    </row>
    <row r="72" spans="1:24" ht="18.75">
      <c r="A72" s="45" t="s">
        <v>138</v>
      </c>
      <c r="B72" s="76" t="s">
        <v>139</v>
      </c>
      <c r="C72" s="77"/>
      <c r="D72" s="78"/>
      <c r="E72" s="43">
        <v>0</v>
      </c>
      <c r="F72" s="77"/>
      <c r="G72" s="43">
        <v>0</v>
      </c>
      <c r="H72" s="43">
        <v>0</v>
      </c>
      <c r="I72" s="43">
        <v>0</v>
      </c>
      <c r="J72" s="43">
        <v>0</v>
      </c>
      <c r="K72" s="71">
        <f t="shared" si="29"/>
        <v>0</v>
      </c>
      <c r="L72" s="73">
        <f t="shared" si="30"/>
        <v>0.6095230999999999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79">
        <f>516.545/1000*1.18</f>
        <v>0.6095230999999999</v>
      </c>
      <c r="U72" s="47">
        <v>0</v>
      </c>
      <c r="V72" s="47">
        <f t="shared" si="31"/>
        <v>0.6095230999999999</v>
      </c>
      <c r="W72" s="80"/>
      <c r="X72" s="77"/>
    </row>
    <row r="73" spans="1:24" ht="33">
      <c r="A73" s="45" t="s">
        <v>140</v>
      </c>
      <c r="B73" s="76" t="s">
        <v>141</v>
      </c>
      <c r="C73" s="77"/>
      <c r="D73" s="78"/>
      <c r="E73" s="43">
        <v>0</v>
      </c>
      <c r="F73" s="77"/>
      <c r="G73" s="43">
        <v>0</v>
      </c>
      <c r="H73" s="43">
        <v>0</v>
      </c>
      <c r="I73" s="43">
        <v>0</v>
      </c>
      <c r="J73" s="43">
        <v>0</v>
      </c>
      <c r="K73" s="71">
        <f t="shared" si="29"/>
        <v>0</v>
      </c>
      <c r="L73" s="73">
        <f t="shared" si="30"/>
        <v>0.0817511552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79">
        <f>69.28064/1000*1.18</f>
        <v>0.0817511552</v>
      </c>
      <c r="U73" s="47">
        <v>0</v>
      </c>
      <c r="V73" s="47">
        <f t="shared" si="31"/>
        <v>0.0817511552</v>
      </c>
      <c r="W73" s="80"/>
      <c r="X73" s="77"/>
    </row>
    <row r="74" spans="1:24" ht="18.75">
      <c r="A74" s="45" t="s">
        <v>142</v>
      </c>
      <c r="B74" s="76" t="s">
        <v>143</v>
      </c>
      <c r="C74" s="77"/>
      <c r="D74" s="78"/>
      <c r="E74" s="43">
        <v>0</v>
      </c>
      <c r="F74" s="77"/>
      <c r="G74" s="43">
        <v>0</v>
      </c>
      <c r="H74" s="43">
        <v>0</v>
      </c>
      <c r="I74" s="43">
        <v>0</v>
      </c>
      <c r="J74" s="43">
        <v>0</v>
      </c>
      <c r="K74" s="71">
        <f t="shared" si="29"/>
        <v>0</v>
      </c>
      <c r="L74" s="73">
        <f t="shared" si="30"/>
        <v>9.4729963164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81">
        <f>8027.96298/1000*1.18</f>
        <v>9.4729963164</v>
      </c>
      <c r="U74" s="47">
        <v>0</v>
      </c>
      <c r="V74" s="47">
        <f t="shared" si="31"/>
        <v>9.4729963164</v>
      </c>
      <c r="W74" s="80"/>
      <c r="X74" s="77"/>
    </row>
    <row r="75" spans="10:23" ht="15.75">
      <c r="J75" s="82"/>
      <c r="K75" s="83"/>
      <c r="L75" s="20"/>
      <c r="M75" s="84"/>
      <c r="N75" s="83"/>
      <c r="O75" s="84"/>
      <c r="P75" s="83"/>
      <c r="Q75" s="84"/>
      <c r="R75" s="83"/>
      <c r="S75" s="84"/>
      <c r="T75" s="83"/>
      <c r="U75" s="82"/>
      <c r="W75" s="4"/>
    </row>
    <row r="76" spans="10:11" ht="15.75">
      <c r="J76" s="1"/>
      <c r="K76" s="1"/>
    </row>
    <row r="77" spans="10:22" ht="15.75">
      <c r="J77" s="1"/>
      <c r="K77" s="1"/>
      <c r="L77" s="85"/>
      <c r="M77" s="1"/>
      <c r="N77" s="1"/>
      <c r="O77" s="1"/>
      <c r="P77" s="1"/>
      <c r="Q77" s="1"/>
      <c r="R77" s="1"/>
      <c r="S77" s="1"/>
      <c r="T77" s="1"/>
      <c r="U77" s="1"/>
      <c r="V77" s="3"/>
    </row>
    <row r="78" ht="15.75">
      <c r="L78" s="277">
        <f>L66-'13  осн этапы '!I84</f>
        <v>0</v>
      </c>
    </row>
    <row r="79" ht="15.75">
      <c r="L79" s="87"/>
    </row>
    <row r="80" ht="15.75">
      <c r="N80" s="88"/>
    </row>
    <row r="82" ht="15.75">
      <c r="L82" s="89"/>
    </row>
    <row r="84" spans="14:16" ht="15.75">
      <c r="N84" s="83"/>
      <c r="O84" s="83"/>
      <c r="P84" s="83"/>
    </row>
  </sheetData>
  <sheetProtection selectLockedCells="1" selectUnlockedCells="1"/>
  <mergeCells count="30">
    <mergeCell ref="H17:H19"/>
    <mergeCell ref="I17:I19"/>
    <mergeCell ref="J17:J19"/>
    <mergeCell ref="K17:T17"/>
    <mergeCell ref="B28:C28"/>
    <mergeCell ref="B29:C29"/>
    <mergeCell ref="B30:C30"/>
    <mergeCell ref="G17:G19"/>
    <mergeCell ref="V17:W17"/>
    <mergeCell ref="X17:X19"/>
    <mergeCell ref="K18:L18"/>
    <mergeCell ref="M18:N18"/>
    <mergeCell ref="O18:P18"/>
    <mergeCell ref="Q18:R18"/>
    <mergeCell ref="S18:T18"/>
    <mergeCell ref="V18:V19"/>
    <mergeCell ref="W18:W19"/>
    <mergeCell ref="U17:U19"/>
    <mergeCell ref="A10:W10"/>
    <mergeCell ref="A12:W12"/>
    <mergeCell ref="A13:X13"/>
    <mergeCell ref="A16:X16"/>
    <mergeCell ref="A17:A19"/>
    <mergeCell ref="B17:B19"/>
    <mergeCell ref="C17:C19"/>
    <mergeCell ref="D17:F18"/>
    <mergeCell ref="A4:W4"/>
    <mergeCell ref="A6:W6"/>
    <mergeCell ref="A7:W7"/>
    <mergeCell ref="A9:W9"/>
  </mergeCells>
  <dataValidations count="2">
    <dataValidation type="textLength" operator="lessThanOrEqual" allowBlank="1" showErrorMessage="1" errorTitle="Ошибка" error="Допускается ввод не более 900 символов!" sqref="B23 B33:B34 B36:B47 B49:B53 B55:B65 B67:B70">
      <formula1>900</formula1>
    </dataValidation>
    <dataValidation type="decimal" allowBlank="1" showErrorMessage="1" errorTitle="Ошибка" error="Допускается ввод только неотрицательных чисел!" sqref="I23:I30 E33:E34 I33:I47 E36:E47 I49:I65 E67:E69 I67:I71">
      <formula1>0</formula1>
      <formula2>9.99999999999999E+23</formula2>
    </dataValidation>
  </dataValidations>
  <printOptions horizontalCentered="1"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 scale="22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="75" zoomScaleNormal="85" zoomScaleSheetLayoutView="75" zoomScalePageLayoutView="0" workbookViewId="0" topLeftCell="A7">
      <selection activeCell="I19" sqref="I19"/>
    </sheetView>
  </sheetViews>
  <sheetFormatPr defaultColWidth="9.8515625" defaultRowHeight="12.75"/>
  <cols>
    <col min="1" max="1" width="15.28125" style="1" customWidth="1"/>
    <col min="2" max="2" width="91.57421875" style="2" customWidth="1"/>
    <col min="3" max="3" width="16.421875" style="1" customWidth="1"/>
    <col min="4" max="4" width="14.8515625" style="4" customWidth="1"/>
    <col min="5" max="5" width="12.7109375" style="4" customWidth="1"/>
    <col min="6" max="6" width="15.140625" style="4" customWidth="1"/>
    <col min="7" max="7" width="17.00390625" style="4" customWidth="1"/>
    <col min="8" max="8" width="15.8515625" style="4" customWidth="1"/>
    <col min="9" max="9" width="14.57421875" style="4" customWidth="1"/>
    <col min="10" max="10" width="13.8515625" style="4" customWidth="1"/>
    <col min="11" max="11" width="13.7109375" style="4" customWidth="1"/>
    <col min="12" max="12" width="18.28125" style="4" customWidth="1"/>
    <col min="13" max="13" width="14.57421875" style="4" customWidth="1"/>
    <col min="14" max="14" width="13.28125" style="7" customWidth="1"/>
    <col min="15" max="15" width="11.7109375" style="7" customWidth="1"/>
    <col min="16" max="16" width="25.00390625" style="7" customWidth="1"/>
    <col min="17" max="54" width="11.7109375" style="7" customWidth="1"/>
    <col min="55" max="55" width="13.28125" style="7" customWidth="1"/>
    <col min="56" max="56" width="12.57421875" style="7" customWidth="1"/>
    <col min="57" max="57" width="15.57421875" style="7" customWidth="1"/>
    <col min="58" max="58" width="16.57421875" style="7" customWidth="1"/>
    <col min="59" max="59" width="14.28125" style="7" customWidth="1"/>
    <col min="60" max="60" width="12.8515625" style="7" customWidth="1"/>
    <col min="61" max="61" width="19.28125" style="7" customWidth="1"/>
    <col min="62" max="16384" width="9.8515625" style="7" customWidth="1"/>
  </cols>
  <sheetData>
    <row r="1" spans="1:13" ht="18.75">
      <c r="A1" s="90"/>
      <c r="M1" s="11" t="s">
        <v>144</v>
      </c>
    </row>
    <row r="2" ht="18.75">
      <c r="M2" s="11" t="s">
        <v>2</v>
      </c>
    </row>
    <row r="3" ht="18.75">
      <c r="M3" s="11" t="s">
        <v>3</v>
      </c>
    </row>
    <row r="4" spans="1:13" ht="18.75">
      <c r="A4" s="345" t="s">
        <v>145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6" spans="1:13" ht="18.75" customHeight="1">
      <c r="A6" s="346" t="s">
        <v>256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</row>
    <row r="7" spans="1:13" ht="18.75" customHeight="1">
      <c r="A7" s="346" t="s">
        <v>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</row>
    <row r="8" spans="1:13" ht="18.75">
      <c r="A8" s="12"/>
      <c r="B8" s="17"/>
      <c r="C8" s="17"/>
      <c r="D8" s="14"/>
      <c r="E8" s="14"/>
      <c r="F8" s="14"/>
      <c r="G8" s="14"/>
      <c r="H8" s="14"/>
      <c r="J8" s="14"/>
      <c r="K8" s="14"/>
      <c r="L8" s="14"/>
      <c r="M8" s="14"/>
    </row>
    <row r="9" spans="1:13" ht="15.75">
      <c r="A9" s="344" t="s">
        <v>146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</row>
    <row r="10" spans="1:13" ht="15.7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</row>
    <row r="11" spans="1:13" ht="15.75">
      <c r="A11" s="16"/>
      <c r="B11" s="91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.75">
      <c r="A12" s="349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</row>
    <row r="13" spans="1:13" ht="24" customHeight="1">
      <c r="A13" s="355" t="s">
        <v>147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</row>
    <row r="14" spans="1:13" ht="15.75" customHeight="1">
      <c r="A14" s="348" t="s">
        <v>8</v>
      </c>
      <c r="B14" s="348" t="s">
        <v>9</v>
      </c>
      <c r="C14" s="348" t="s">
        <v>148</v>
      </c>
      <c r="D14" s="352" t="s">
        <v>16</v>
      </c>
      <c r="E14" s="352"/>
      <c r="F14" s="352"/>
      <c r="G14" s="352"/>
      <c r="H14" s="352"/>
      <c r="I14" s="352"/>
      <c r="J14" s="352"/>
      <c r="K14" s="352"/>
      <c r="L14" s="352"/>
      <c r="M14" s="352"/>
    </row>
    <row r="15" spans="1:13" ht="42.75" customHeight="1">
      <c r="A15" s="348"/>
      <c r="B15" s="348"/>
      <c r="C15" s="348"/>
      <c r="D15" s="352" t="s">
        <v>20</v>
      </c>
      <c r="E15" s="352"/>
      <c r="F15" s="352"/>
      <c r="G15" s="352"/>
      <c r="H15" s="352"/>
      <c r="I15" s="352"/>
      <c r="J15" s="352"/>
      <c r="K15" s="352"/>
      <c r="L15" s="352"/>
      <c r="M15" s="352"/>
    </row>
    <row r="16" spans="1:13" ht="15.75" customHeight="1">
      <c r="A16" s="348"/>
      <c r="B16" s="348"/>
      <c r="C16" s="348"/>
      <c r="D16" s="352" t="s">
        <v>30</v>
      </c>
      <c r="E16" s="352"/>
      <c r="F16" s="352"/>
      <c r="G16" s="352"/>
      <c r="H16" s="352"/>
      <c r="I16" s="352" t="s">
        <v>31</v>
      </c>
      <c r="J16" s="352"/>
      <c r="K16" s="352"/>
      <c r="L16" s="352"/>
      <c r="M16" s="352"/>
    </row>
    <row r="17" spans="1:13" ht="184.5" customHeight="1">
      <c r="A17" s="348"/>
      <c r="B17" s="348"/>
      <c r="C17" s="348"/>
      <c r="D17" s="92" t="s">
        <v>149</v>
      </c>
      <c r="E17" s="92" t="s">
        <v>150</v>
      </c>
      <c r="F17" s="92" t="s">
        <v>151</v>
      </c>
      <c r="G17" s="92" t="s">
        <v>152</v>
      </c>
      <c r="H17" s="92" t="s">
        <v>153</v>
      </c>
      <c r="I17" s="92" t="s">
        <v>154</v>
      </c>
      <c r="J17" s="92" t="s">
        <v>150</v>
      </c>
      <c r="K17" s="92" t="s">
        <v>151</v>
      </c>
      <c r="L17" s="92" t="s">
        <v>152</v>
      </c>
      <c r="M17" s="92" t="s">
        <v>153</v>
      </c>
    </row>
    <row r="18" spans="1:13" ht="26.25" customHeight="1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51">
        <v>12</v>
      </c>
      <c r="M18" s="51">
        <v>13</v>
      </c>
    </row>
    <row r="19" spans="1:13" ht="16.5">
      <c r="A19" s="93"/>
      <c r="B19" s="33" t="s">
        <v>32</v>
      </c>
      <c r="C19" s="34"/>
      <c r="D19" s="36">
        <v>21.44942403999999</v>
      </c>
      <c r="E19" s="36">
        <v>0</v>
      </c>
      <c r="F19" s="36">
        <v>0</v>
      </c>
      <c r="G19" s="36">
        <v>21.44942403999999</v>
      </c>
      <c r="H19" s="36">
        <v>0</v>
      </c>
      <c r="I19" s="36">
        <v>21.4550787876</v>
      </c>
      <c r="J19" s="36">
        <v>0</v>
      </c>
      <c r="K19" s="36">
        <v>0</v>
      </c>
      <c r="L19" s="36">
        <v>21.4550787876</v>
      </c>
      <c r="M19" s="36">
        <v>0</v>
      </c>
    </row>
    <row r="20" spans="1:13" ht="31.5" customHeight="1">
      <c r="A20" s="94" t="s">
        <v>34</v>
      </c>
      <c r="B20" s="33" t="s">
        <v>35</v>
      </c>
      <c r="C20" s="34"/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2.375103115</v>
      </c>
      <c r="J20" s="63">
        <v>0</v>
      </c>
      <c r="K20" s="63">
        <v>0</v>
      </c>
      <c r="L20" s="63">
        <v>2.375103115</v>
      </c>
      <c r="M20" s="63">
        <v>0</v>
      </c>
    </row>
    <row r="21" spans="1:13" ht="33">
      <c r="A21" s="95" t="s">
        <v>155</v>
      </c>
      <c r="B21" s="46" t="s">
        <v>37</v>
      </c>
      <c r="C21" s="34"/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0.1022587646</v>
      </c>
      <c r="J21" s="43">
        <v>0</v>
      </c>
      <c r="K21" s="43">
        <v>0</v>
      </c>
      <c r="L21" s="43">
        <v>0.1022587646</v>
      </c>
      <c r="M21" s="43">
        <v>0</v>
      </c>
    </row>
    <row r="22" spans="1:13" ht="16.5">
      <c r="A22" s="95" t="s">
        <v>156</v>
      </c>
      <c r="B22" s="46" t="s">
        <v>157</v>
      </c>
      <c r="C22" s="34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0.2860874128</v>
      </c>
      <c r="J22" s="43">
        <v>0</v>
      </c>
      <c r="K22" s="43">
        <v>0</v>
      </c>
      <c r="L22" s="43">
        <v>0.2860874128</v>
      </c>
      <c r="M22" s="43">
        <v>0</v>
      </c>
    </row>
    <row r="23" spans="1:13" ht="33">
      <c r="A23" s="95" t="s">
        <v>158</v>
      </c>
      <c r="B23" s="46" t="s">
        <v>42</v>
      </c>
      <c r="C23" s="34"/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0.12305287799999999</v>
      </c>
      <c r="J23" s="43">
        <v>0</v>
      </c>
      <c r="K23" s="43">
        <v>0</v>
      </c>
      <c r="L23" s="43">
        <v>0.12305287799999999</v>
      </c>
      <c r="M23" s="43">
        <v>0</v>
      </c>
    </row>
    <row r="24" spans="1:26" ht="33">
      <c r="A24" s="95" t="s">
        <v>159</v>
      </c>
      <c r="B24" s="69" t="s">
        <v>44</v>
      </c>
      <c r="C24" s="70"/>
      <c r="D24" s="71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1.0909989956000001</v>
      </c>
      <c r="J24" s="43">
        <v>0</v>
      </c>
      <c r="K24" s="43">
        <v>0</v>
      </c>
      <c r="L24" s="43">
        <v>1.0909989956000001</v>
      </c>
      <c r="M24" s="43">
        <v>0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6.5">
      <c r="A25" s="98" t="s">
        <v>160</v>
      </c>
      <c r="B25" s="46" t="s">
        <v>46</v>
      </c>
      <c r="C25" s="34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0.0389456522</v>
      </c>
      <c r="J25" s="43">
        <v>0</v>
      </c>
      <c r="K25" s="43">
        <v>0</v>
      </c>
      <c r="L25" s="43">
        <v>0.0389456522</v>
      </c>
      <c r="M25" s="43">
        <v>0</v>
      </c>
      <c r="N25" s="99"/>
      <c r="O25" s="99"/>
      <c r="P25" s="99"/>
      <c r="Q25" s="99"/>
      <c r="R25" s="99"/>
      <c r="S25" s="99"/>
      <c r="T25" s="99"/>
      <c r="U25" s="97"/>
      <c r="V25" s="97"/>
      <c r="W25" s="97"/>
      <c r="X25" s="97"/>
      <c r="Y25" s="97"/>
      <c r="Z25" s="97"/>
    </row>
    <row r="26" spans="1:26" ht="16.5">
      <c r="A26" s="98" t="s">
        <v>161</v>
      </c>
      <c r="B26" s="100" t="s">
        <v>48</v>
      </c>
      <c r="C26" s="100"/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0.24445827539999995</v>
      </c>
      <c r="J26" s="43">
        <v>0</v>
      </c>
      <c r="K26" s="43">
        <v>0</v>
      </c>
      <c r="L26" s="43">
        <v>0.24445827539999995</v>
      </c>
      <c r="M26" s="43">
        <v>0</v>
      </c>
      <c r="N26" s="99"/>
      <c r="O26" s="99"/>
      <c r="P26" s="99"/>
      <c r="Q26" s="99"/>
      <c r="R26" s="99"/>
      <c r="S26" s="99"/>
      <c r="T26" s="99"/>
      <c r="U26" s="97"/>
      <c r="V26" s="97"/>
      <c r="W26" s="97"/>
      <c r="X26" s="97"/>
      <c r="Y26" s="97"/>
      <c r="Z26" s="97"/>
    </row>
    <row r="27" spans="1:26" ht="16.5">
      <c r="A27" s="98" t="s">
        <v>162</v>
      </c>
      <c r="B27" s="100" t="s">
        <v>50</v>
      </c>
      <c r="C27" s="100"/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0.255813911</v>
      </c>
      <c r="J27" s="43">
        <v>0</v>
      </c>
      <c r="K27" s="43">
        <v>0</v>
      </c>
      <c r="L27" s="43">
        <v>0.255813911</v>
      </c>
      <c r="M27" s="43">
        <v>0</v>
      </c>
      <c r="N27" s="99"/>
      <c r="O27" s="99"/>
      <c r="P27" s="99"/>
      <c r="Q27" s="99"/>
      <c r="R27" s="99"/>
      <c r="S27" s="99"/>
      <c r="T27" s="99"/>
      <c r="U27" s="97"/>
      <c r="V27" s="97"/>
      <c r="W27" s="97"/>
      <c r="X27" s="97"/>
      <c r="Y27" s="97"/>
      <c r="Z27" s="97"/>
    </row>
    <row r="28" spans="1:26" ht="16.5">
      <c r="A28" s="98" t="s">
        <v>163</v>
      </c>
      <c r="B28" s="100" t="s">
        <v>52</v>
      </c>
      <c r="C28" s="100"/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0.23348722539999997</v>
      </c>
      <c r="J28" s="43">
        <v>0</v>
      </c>
      <c r="K28" s="43">
        <v>0</v>
      </c>
      <c r="L28" s="43">
        <v>0.23348722539999997</v>
      </c>
      <c r="M28" s="43">
        <v>0</v>
      </c>
      <c r="N28" s="99"/>
      <c r="O28" s="99"/>
      <c r="P28" s="99"/>
      <c r="Q28" s="99"/>
      <c r="R28" s="99"/>
      <c r="S28" s="99"/>
      <c r="T28" s="99"/>
      <c r="U28" s="97"/>
      <c r="V28" s="97"/>
      <c r="W28" s="97"/>
      <c r="X28" s="97"/>
      <c r="Y28" s="97"/>
      <c r="Z28" s="97"/>
    </row>
    <row r="29" spans="1:26" ht="33">
      <c r="A29" s="101" t="s">
        <v>53</v>
      </c>
      <c r="B29" s="102" t="s">
        <v>54</v>
      </c>
      <c r="C29" s="103"/>
      <c r="D29" s="104">
        <v>14.38992857904</v>
      </c>
      <c r="E29" s="63">
        <v>0</v>
      </c>
      <c r="F29" s="63">
        <v>0</v>
      </c>
      <c r="G29" s="63">
        <v>14.38992857904</v>
      </c>
      <c r="H29" s="63">
        <v>0</v>
      </c>
      <c r="I29" s="63">
        <v>2.3356089752</v>
      </c>
      <c r="J29" s="63">
        <v>0</v>
      </c>
      <c r="K29" s="63">
        <v>0</v>
      </c>
      <c r="L29" s="63">
        <v>2.3356089752</v>
      </c>
      <c r="M29" s="63">
        <v>0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13" ht="16.5">
      <c r="A30" s="105" t="s">
        <v>164</v>
      </c>
      <c r="B30" s="33" t="s">
        <v>56</v>
      </c>
      <c r="C30" s="77"/>
      <c r="D30" s="63">
        <v>6.372</v>
      </c>
      <c r="E30" s="63">
        <v>0</v>
      </c>
      <c r="F30" s="63">
        <v>0</v>
      </c>
      <c r="G30" s="63">
        <v>6.372</v>
      </c>
      <c r="H30" s="63">
        <v>0</v>
      </c>
      <c r="I30" s="63">
        <v>0.051919999999999994</v>
      </c>
      <c r="J30" s="63">
        <v>0</v>
      </c>
      <c r="K30" s="63">
        <v>0</v>
      </c>
      <c r="L30" s="63">
        <v>0.051919999999999994</v>
      </c>
      <c r="M30" s="63">
        <v>0</v>
      </c>
    </row>
    <row r="31" spans="1:13" ht="33">
      <c r="A31" s="106" t="s">
        <v>57</v>
      </c>
      <c r="B31" s="46" t="s">
        <v>61</v>
      </c>
      <c r="C31" s="77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0.051919999999999994</v>
      </c>
      <c r="J31" s="43">
        <v>0</v>
      </c>
      <c r="K31" s="43">
        <v>0</v>
      </c>
      <c r="L31" s="47">
        <v>0.051919999999999994</v>
      </c>
      <c r="M31" s="43">
        <v>0</v>
      </c>
    </row>
    <row r="32" spans="1:13" ht="16.5">
      <c r="A32" s="106" t="s">
        <v>60</v>
      </c>
      <c r="B32" s="46" t="s">
        <v>58</v>
      </c>
      <c r="C32" s="77"/>
      <c r="D32" s="43">
        <v>6.372</v>
      </c>
      <c r="E32" s="43">
        <v>0</v>
      </c>
      <c r="F32" s="43">
        <v>0</v>
      </c>
      <c r="G32" s="43">
        <v>6.372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</row>
    <row r="33" spans="1:13" ht="16.5">
      <c r="A33" s="101" t="s">
        <v>62</v>
      </c>
      <c r="B33" s="33" t="s">
        <v>63</v>
      </c>
      <c r="C33" s="77"/>
      <c r="D33" s="63">
        <v>8.01792857904</v>
      </c>
      <c r="E33" s="63">
        <v>0</v>
      </c>
      <c r="F33" s="63">
        <v>0</v>
      </c>
      <c r="G33" s="63">
        <v>8.01792857904</v>
      </c>
      <c r="H33" s="63">
        <v>0</v>
      </c>
      <c r="I33" s="63">
        <v>0.1483197696</v>
      </c>
      <c r="J33" s="63">
        <v>0</v>
      </c>
      <c r="K33" s="63">
        <v>0</v>
      </c>
      <c r="L33" s="63">
        <v>0.1483197696</v>
      </c>
      <c r="M33" s="63">
        <v>0</v>
      </c>
    </row>
    <row r="34" spans="1:13" ht="16.5">
      <c r="A34" s="95" t="s">
        <v>64</v>
      </c>
      <c r="B34" s="46" t="s">
        <v>65</v>
      </c>
      <c r="C34" s="77"/>
      <c r="D34" s="43">
        <v>0.28258256736</v>
      </c>
      <c r="E34" s="43">
        <v>0</v>
      </c>
      <c r="F34" s="43">
        <v>0</v>
      </c>
      <c r="G34" s="43">
        <v>0.28258256736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 ht="16.5">
      <c r="A35" s="95" t="s">
        <v>67</v>
      </c>
      <c r="B35" s="46" t="s">
        <v>68</v>
      </c>
      <c r="C35" s="77"/>
      <c r="D35" s="43">
        <v>0.4709709456</v>
      </c>
      <c r="E35" s="43">
        <v>0</v>
      </c>
      <c r="F35" s="43">
        <v>0</v>
      </c>
      <c r="G35" s="43">
        <v>0.4709709456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6.5">
      <c r="A36" s="95" t="s">
        <v>69</v>
      </c>
      <c r="B36" s="46" t="s">
        <v>70</v>
      </c>
      <c r="C36" s="77"/>
      <c r="D36" s="43">
        <v>0.207227216064</v>
      </c>
      <c r="E36" s="43">
        <v>0</v>
      </c>
      <c r="F36" s="43">
        <v>0</v>
      </c>
      <c r="G36" s="43">
        <v>0.207227216064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6.5">
      <c r="A37" s="95" t="s">
        <v>71</v>
      </c>
      <c r="B37" s="46" t="s">
        <v>72</v>
      </c>
      <c r="C37" s="77"/>
      <c r="D37" s="43">
        <v>0.150710702592</v>
      </c>
      <c r="E37" s="43">
        <v>0</v>
      </c>
      <c r="F37" s="43">
        <v>0</v>
      </c>
      <c r="G37" s="43">
        <v>0.150710702592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6.5">
      <c r="A38" s="95" t="s">
        <v>73</v>
      </c>
      <c r="B38" s="46" t="s">
        <v>74</v>
      </c>
      <c r="C38" s="77"/>
      <c r="D38" s="43">
        <v>0.09419418912000001</v>
      </c>
      <c r="E38" s="43">
        <v>0</v>
      </c>
      <c r="F38" s="43">
        <v>0</v>
      </c>
      <c r="G38" s="43">
        <v>0.09419418912000001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</row>
    <row r="39" spans="1:13" ht="16.5">
      <c r="A39" s="95" t="s">
        <v>75</v>
      </c>
      <c r="B39" s="46" t="s">
        <v>76</v>
      </c>
      <c r="C39" s="77"/>
      <c r="D39" s="43">
        <v>0.461551526688</v>
      </c>
      <c r="E39" s="43">
        <v>0</v>
      </c>
      <c r="F39" s="43">
        <v>0</v>
      </c>
      <c r="G39" s="43">
        <v>0.461551526688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</row>
    <row r="40" spans="1:13" ht="16.5">
      <c r="A40" s="95" t="s">
        <v>77</v>
      </c>
      <c r="B40" s="46" t="s">
        <v>78</v>
      </c>
      <c r="C40" s="77"/>
      <c r="D40" s="43">
        <v>0.28258256736</v>
      </c>
      <c r="E40" s="43">
        <v>0</v>
      </c>
      <c r="F40" s="43">
        <v>0</v>
      </c>
      <c r="G40" s="43">
        <v>0.28258256736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</row>
    <row r="41" spans="1:13" ht="16.5">
      <c r="A41" s="95" t="s">
        <v>79</v>
      </c>
      <c r="B41" s="46" t="s">
        <v>80</v>
      </c>
      <c r="C41" s="77"/>
      <c r="D41" s="43">
        <v>0.16954954041599998</v>
      </c>
      <c r="E41" s="43">
        <v>0</v>
      </c>
      <c r="F41" s="43">
        <v>0</v>
      </c>
      <c r="G41" s="43">
        <v>0.16954954041599998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</row>
    <row r="42" spans="1:13" ht="16.5">
      <c r="A42" s="95" t="s">
        <v>81</v>
      </c>
      <c r="B42" s="46" t="s">
        <v>82</v>
      </c>
      <c r="C42" s="77"/>
      <c r="D42" s="43">
        <v>0.65935932384</v>
      </c>
      <c r="E42" s="43">
        <v>0</v>
      </c>
      <c r="F42" s="43">
        <v>0</v>
      </c>
      <c r="G42" s="43">
        <v>0.65935932384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</row>
    <row r="43" spans="1:13" ht="33">
      <c r="A43" s="95" t="s">
        <v>83</v>
      </c>
      <c r="B43" s="46" t="s">
        <v>84</v>
      </c>
      <c r="C43" s="77"/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0.1483197696</v>
      </c>
      <c r="J43" s="43">
        <v>0</v>
      </c>
      <c r="K43" s="43">
        <v>0</v>
      </c>
      <c r="L43" s="43">
        <v>0.1483197696</v>
      </c>
      <c r="M43" s="43">
        <v>0</v>
      </c>
    </row>
    <row r="44" spans="1:13" ht="16.5">
      <c r="A44" s="95" t="s">
        <v>85</v>
      </c>
      <c r="B44" s="46" t="s">
        <v>86</v>
      </c>
      <c r="C44" s="77"/>
      <c r="D44" s="43">
        <v>0.944</v>
      </c>
      <c r="E44" s="43">
        <v>0</v>
      </c>
      <c r="F44" s="43">
        <v>0</v>
      </c>
      <c r="G44" s="43">
        <v>0.944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</row>
    <row r="45" spans="1:13" ht="16.5">
      <c r="A45" s="95" t="s">
        <v>87</v>
      </c>
      <c r="B45" s="46" t="s">
        <v>88</v>
      </c>
      <c r="C45" s="77"/>
      <c r="D45" s="43">
        <v>4.2952</v>
      </c>
      <c r="E45" s="43">
        <v>0</v>
      </c>
      <c r="F45" s="43">
        <v>0</v>
      </c>
      <c r="G45" s="43">
        <v>4.2952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</row>
    <row r="46" spans="1:13" ht="33">
      <c r="A46" s="101" t="s">
        <v>165</v>
      </c>
      <c r="B46" s="33" t="s">
        <v>90</v>
      </c>
      <c r="C46" s="77"/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1.9196780439999999</v>
      </c>
      <c r="J46" s="63">
        <v>0</v>
      </c>
      <c r="K46" s="63">
        <v>0</v>
      </c>
      <c r="L46" s="63">
        <v>1.9196780439999999</v>
      </c>
      <c r="M46" s="63">
        <v>0</v>
      </c>
    </row>
    <row r="47" spans="1:13" ht="33">
      <c r="A47" s="95" t="s">
        <v>166</v>
      </c>
      <c r="B47" s="46" t="s">
        <v>91</v>
      </c>
      <c r="C47" s="77"/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0.4047100044</v>
      </c>
      <c r="J47" s="43">
        <v>0</v>
      </c>
      <c r="K47" s="43">
        <v>0</v>
      </c>
      <c r="L47" s="43">
        <v>0.4047100044</v>
      </c>
      <c r="M47" s="43">
        <v>0</v>
      </c>
    </row>
    <row r="48" spans="1:13" ht="26.25" customHeight="1">
      <c r="A48" s="95" t="s">
        <v>167</v>
      </c>
      <c r="B48" s="61" t="s">
        <v>92</v>
      </c>
      <c r="C48" s="77"/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0.8092322825999999</v>
      </c>
      <c r="J48" s="43">
        <v>0</v>
      </c>
      <c r="K48" s="43">
        <v>0</v>
      </c>
      <c r="L48" s="43">
        <v>0.8092322825999999</v>
      </c>
      <c r="M48" s="43">
        <v>0</v>
      </c>
    </row>
    <row r="49" spans="1:13" ht="27.75" customHeight="1">
      <c r="A49" s="95" t="s">
        <v>168</v>
      </c>
      <c r="B49" s="61" t="s">
        <v>94</v>
      </c>
      <c r="C49" s="77"/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0.36338337179999997</v>
      </c>
      <c r="J49" s="43">
        <v>0</v>
      </c>
      <c r="K49" s="43">
        <v>0</v>
      </c>
      <c r="L49" s="43">
        <v>0.36338337179999997</v>
      </c>
      <c r="M49" s="43">
        <v>0</v>
      </c>
    </row>
    <row r="50" spans="1:13" ht="27.75" customHeight="1">
      <c r="A50" s="95" t="s">
        <v>169</v>
      </c>
      <c r="B50" s="61" t="s">
        <v>97</v>
      </c>
      <c r="C50" s="103"/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43">
        <v>0.030649709399999996</v>
      </c>
      <c r="J50" s="107">
        <v>0</v>
      </c>
      <c r="K50" s="107">
        <v>0</v>
      </c>
      <c r="L50" s="43">
        <v>0.030649709399999996</v>
      </c>
      <c r="M50" s="107">
        <v>0</v>
      </c>
    </row>
    <row r="51" spans="1:13" ht="39" customHeight="1">
      <c r="A51" s="95" t="s">
        <v>170</v>
      </c>
      <c r="B51" s="61" t="s">
        <v>99</v>
      </c>
      <c r="C51" s="103"/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43">
        <v>0.3117026758</v>
      </c>
      <c r="J51" s="107">
        <v>0</v>
      </c>
      <c r="K51" s="107">
        <v>0</v>
      </c>
      <c r="L51" s="43">
        <v>0.3117026758</v>
      </c>
      <c r="M51" s="107">
        <v>0</v>
      </c>
    </row>
    <row r="52" spans="1:13" ht="33">
      <c r="A52" s="101" t="s">
        <v>171</v>
      </c>
      <c r="B52" s="33" t="s">
        <v>101</v>
      </c>
      <c r="C52" s="103"/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0.21569116160000001</v>
      </c>
      <c r="J52" s="104">
        <v>0</v>
      </c>
      <c r="K52" s="104">
        <v>0</v>
      </c>
      <c r="L52" s="104">
        <v>0.21569116160000001</v>
      </c>
      <c r="M52" s="104">
        <v>0</v>
      </c>
    </row>
    <row r="53" spans="1:13" s="41" customFormat="1" ht="16.5">
      <c r="A53" s="95" t="s">
        <v>102</v>
      </c>
      <c r="B53" s="46" t="s">
        <v>103</v>
      </c>
      <c r="C53" s="109"/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3">
        <v>0.056524088599999994</v>
      </c>
      <c r="J53" s="47">
        <v>0</v>
      </c>
      <c r="K53" s="47">
        <v>0</v>
      </c>
      <c r="L53" s="47">
        <v>0.056524088599999994</v>
      </c>
      <c r="M53" s="47">
        <v>0</v>
      </c>
    </row>
    <row r="54" spans="1:13" s="41" customFormat="1" ht="49.5">
      <c r="A54" s="95" t="s">
        <v>104</v>
      </c>
      <c r="B54" s="46" t="s">
        <v>172</v>
      </c>
      <c r="C54" s="110"/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3">
        <v>0.007724043999999999</v>
      </c>
      <c r="J54" s="47">
        <v>0</v>
      </c>
      <c r="K54" s="47">
        <v>0</v>
      </c>
      <c r="L54" s="47">
        <v>0.007724043999999999</v>
      </c>
      <c r="M54" s="108">
        <v>0</v>
      </c>
    </row>
    <row r="55" spans="1:13" s="41" customFormat="1" ht="16.5">
      <c r="A55" s="95" t="s">
        <v>106</v>
      </c>
      <c r="B55" s="46" t="s">
        <v>107</v>
      </c>
      <c r="C55" s="110"/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3">
        <v>0.074011429</v>
      </c>
      <c r="J55" s="47">
        <v>0</v>
      </c>
      <c r="K55" s="47">
        <v>0</v>
      </c>
      <c r="L55" s="108">
        <v>0.074011429</v>
      </c>
      <c r="M55" s="47">
        <v>0</v>
      </c>
    </row>
    <row r="56" spans="1:13" s="41" customFormat="1" ht="33">
      <c r="A56" s="95" t="s">
        <v>108</v>
      </c>
      <c r="B56" s="61" t="s">
        <v>109</v>
      </c>
      <c r="C56" s="110"/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3">
        <v>0.007764399999999999</v>
      </c>
      <c r="J56" s="47">
        <v>0</v>
      </c>
      <c r="K56" s="47">
        <v>0</v>
      </c>
      <c r="L56" s="47">
        <v>0.007764399999999999</v>
      </c>
      <c r="M56" s="47">
        <v>0</v>
      </c>
    </row>
    <row r="57" spans="1:13" s="41" customFormat="1" ht="16.5">
      <c r="A57" s="95" t="s">
        <v>110</v>
      </c>
      <c r="B57" s="61" t="s">
        <v>111</v>
      </c>
      <c r="C57" s="110"/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3">
        <v>0.0077998</v>
      </c>
      <c r="J57" s="47">
        <v>0</v>
      </c>
      <c r="K57" s="47">
        <v>0</v>
      </c>
      <c r="L57" s="47">
        <v>0.0077998</v>
      </c>
      <c r="M57" s="47">
        <v>0</v>
      </c>
    </row>
    <row r="58" spans="1:13" s="41" customFormat="1" ht="33">
      <c r="A58" s="95" t="s">
        <v>112</v>
      </c>
      <c r="B58" s="61" t="s">
        <v>113</v>
      </c>
      <c r="C58" s="110"/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3">
        <v>0.0155996</v>
      </c>
      <c r="J58" s="47">
        <v>0</v>
      </c>
      <c r="K58" s="47">
        <v>0</v>
      </c>
      <c r="L58" s="47">
        <v>0.0155996</v>
      </c>
      <c r="M58" s="47">
        <v>0</v>
      </c>
    </row>
    <row r="59" spans="1:13" s="41" customFormat="1" ht="33">
      <c r="A59" s="95" t="s">
        <v>114</v>
      </c>
      <c r="B59" s="61" t="s">
        <v>115</v>
      </c>
      <c r="C59" s="110"/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3">
        <v>0.0037228999999999995</v>
      </c>
      <c r="J59" s="47">
        <v>0</v>
      </c>
      <c r="K59" s="47">
        <v>0</v>
      </c>
      <c r="L59" s="47">
        <v>0.0037228999999999995</v>
      </c>
      <c r="M59" s="47">
        <v>0</v>
      </c>
    </row>
    <row r="60" spans="1:13" s="41" customFormat="1" ht="33">
      <c r="A60" s="95" t="s">
        <v>116</v>
      </c>
      <c r="B60" s="61" t="s">
        <v>117</v>
      </c>
      <c r="C60" s="110"/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3">
        <v>0.0037228999999999995</v>
      </c>
      <c r="J60" s="47">
        <v>0</v>
      </c>
      <c r="K60" s="47">
        <v>0</v>
      </c>
      <c r="L60" s="47">
        <v>0.0037228999999999995</v>
      </c>
      <c r="M60" s="47">
        <v>0</v>
      </c>
    </row>
    <row r="61" spans="1:13" s="41" customFormat="1" ht="16.5">
      <c r="A61" s="95" t="s">
        <v>118</v>
      </c>
      <c r="B61" s="61" t="s">
        <v>119</v>
      </c>
      <c r="C61" s="110"/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3">
        <v>0.007764399999999999</v>
      </c>
      <c r="J61" s="47">
        <v>0</v>
      </c>
      <c r="K61" s="47">
        <v>0</v>
      </c>
      <c r="L61" s="47">
        <v>0.007764399999999999</v>
      </c>
      <c r="M61" s="47">
        <v>0</v>
      </c>
    </row>
    <row r="62" spans="1:13" s="41" customFormat="1" ht="16.5">
      <c r="A62" s="95" t="s">
        <v>120</v>
      </c>
      <c r="B62" s="61" t="s">
        <v>121</v>
      </c>
      <c r="C62" s="110"/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3">
        <v>0.015528799999999999</v>
      </c>
      <c r="J62" s="47">
        <v>0</v>
      </c>
      <c r="K62" s="47">
        <v>0</v>
      </c>
      <c r="L62" s="47">
        <v>0.015528799999999999</v>
      </c>
      <c r="M62" s="47">
        <v>0</v>
      </c>
    </row>
    <row r="63" spans="1:13" s="41" customFormat="1" ht="33">
      <c r="A63" s="95" t="s">
        <v>122</v>
      </c>
      <c r="B63" s="61" t="s">
        <v>123</v>
      </c>
      <c r="C63" s="110"/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3">
        <v>0.015528799999999999</v>
      </c>
      <c r="J63" s="47">
        <v>0</v>
      </c>
      <c r="K63" s="47">
        <v>0</v>
      </c>
      <c r="L63" s="47">
        <v>0.015528799999999999</v>
      </c>
      <c r="M63" s="47">
        <v>0</v>
      </c>
    </row>
    <row r="64" spans="1:13" ht="24.75" customHeight="1">
      <c r="A64" s="111" t="s">
        <v>124</v>
      </c>
      <c r="B64" s="112" t="s">
        <v>125</v>
      </c>
      <c r="C64" s="103"/>
      <c r="D64" s="104">
        <v>7.0594954609599885</v>
      </c>
      <c r="E64" s="104">
        <v>0</v>
      </c>
      <c r="F64" s="104">
        <v>0</v>
      </c>
      <c r="G64" s="104">
        <v>7.0594954609599885</v>
      </c>
      <c r="H64" s="104">
        <v>0</v>
      </c>
      <c r="I64" s="113">
        <v>16.7443666974</v>
      </c>
      <c r="J64" s="104">
        <v>0</v>
      </c>
      <c r="K64" s="104">
        <v>0</v>
      </c>
      <c r="L64" s="104">
        <v>16.7443666974</v>
      </c>
      <c r="M64" s="104">
        <v>0</v>
      </c>
    </row>
    <row r="65" spans="1:13" ht="28.5" customHeight="1">
      <c r="A65" s="93" t="s">
        <v>173</v>
      </c>
      <c r="B65" s="114" t="s">
        <v>127</v>
      </c>
      <c r="C65" s="109"/>
      <c r="D65" s="47">
        <v>4.956</v>
      </c>
      <c r="E65" s="47">
        <v>0</v>
      </c>
      <c r="F65" s="47">
        <v>0</v>
      </c>
      <c r="G65" s="115">
        <v>4.956</v>
      </c>
      <c r="H65" s="116">
        <v>0</v>
      </c>
      <c r="I65" s="43">
        <v>4.6362147242</v>
      </c>
      <c r="J65" s="47">
        <v>0</v>
      </c>
      <c r="K65" s="47">
        <v>0</v>
      </c>
      <c r="L65" s="47">
        <v>4.6362147242</v>
      </c>
      <c r="M65" s="47">
        <v>0</v>
      </c>
    </row>
    <row r="66" spans="1:13" ht="26.25" customHeight="1">
      <c r="A66" s="93" t="s">
        <v>174</v>
      </c>
      <c r="B66" s="114" t="s">
        <v>130</v>
      </c>
      <c r="C66" s="77"/>
      <c r="D66" s="43">
        <v>0.708</v>
      </c>
      <c r="E66" s="47">
        <v>0</v>
      </c>
      <c r="F66" s="47">
        <v>0</v>
      </c>
      <c r="G66" s="43">
        <v>0.708</v>
      </c>
      <c r="H66" s="96">
        <v>0</v>
      </c>
      <c r="I66" s="43">
        <v>0</v>
      </c>
      <c r="J66" s="47">
        <v>0</v>
      </c>
      <c r="K66" s="47">
        <v>0</v>
      </c>
      <c r="L66" s="43">
        <v>0</v>
      </c>
      <c r="M66" s="47">
        <v>0</v>
      </c>
    </row>
    <row r="67" spans="1:13" ht="27.75" customHeight="1">
      <c r="A67" s="93" t="s">
        <v>175</v>
      </c>
      <c r="B67" s="114" t="s">
        <v>132</v>
      </c>
      <c r="C67" s="77"/>
      <c r="D67" s="43">
        <v>1.395495460959988</v>
      </c>
      <c r="E67" s="47">
        <v>0</v>
      </c>
      <c r="F67" s="47">
        <v>0</v>
      </c>
      <c r="G67" s="43">
        <v>1.395495460959988</v>
      </c>
      <c r="H67" s="96">
        <v>0</v>
      </c>
      <c r="I67" s="43">
        <v>1.851538</v>
      </c>
      <c r="J67" s="47">
        <v>0</v>
      </c>
      <c r="K67" s="47">
        <v>0</v>
      </c>
      <c r="L67" s="43">
        <v>1.851538</v>
      </c>
      <c r="M67" s="47">
        <v>0</v>
      </c>
    </row>
    <row r="68" spans="1:13" ht="30" customHeight="1">
      <c r="A68" s="93" t="s">
        <v>176</v>
      </c>
      <c r="B68" s="117" t="s">
        <v>135</v>
      </c>
      <c r="C68" s="118"/>
      <c r="D68" s="43">
        <v>0</v>
      </c>
      <c r="E68" s="47">
        <v>0</v>
      </c>
      <c r="F68" s="47">
        <v>0</v>
      </c>
      <c r="G68" s="43">
        <v>0</v>
      </c>
      <c r="H68" s="119">
        <v>0</v>
      </c>
      <c r="I68" s="43">
        <v>0.007343399600000001</v>
      </c>
      <c r="J68" s="47">
        <v>0</v>
      </c>
      <c r="K68" s="47">
        <v>0</v>
      </c>
      <c r="L68" s="71">
        <v>0.007343399600000001</v>
      </c>
      <c r="M68" s="47">
        <v>0</v>
      </c>
    </row>
    <row r="69" spans="1:13" ht="33">
      <c r="A69" s="120" t="s">
        <v>177</v>
      </c>
      <c r="B69" s="46" t="s">
        <v>137</v>
      </c>
      <c r="C69" s="77"/>
      <c r="D69" s="12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0.08500000199999999</v>
      </c>
      <c r="J69" s="73">
        <v>0</v>
      </c>
      <c r="K69" s="73">
        <v>0</v>
      </c>
      <c r="L69" s="73">
        <v>0.08500000199999999</v>
      </c>
      <c r="M69" s="73">
        <v>0</v>
      </c>
    </row>
    <row r="70" spans="1:13" ht="16.5">
      <c r="A70" s="120" t="s">
        <v>178</v>
      </c>
      <c r="B70" s="122" t="s">
        <v>139</v>
      </c>
      <c r="C70" s="77"/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71">
        <v>0.6095230999999999</v>
      </c>
      <c r="J70" s="73">
        <v>0</v>
      </c>
      <c r="K70" s="73">
        <v>0</v>
      </c>
      <c r="L70" s="73">
        <v>0.6095230999999999</v>
      </c>
      <c r="M70" s="73">
        <v>0</v>
      </c>
    </row>
    <row r="71" spans="1:13" ht="33">
      <c r="A71" s="120" t="s">
        <v>179</v>
      </c>
      <c r="B71" s="122" t="s">
        <v>141</v>
      </c>
      <c r="C71" s="77"/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71">
        <v>0.0817511552</v>
      </c>
      <c r="J71" s="73">
        <v>0</v>
      </c>
      <c r="K71" s="73">
        <v>0</v>
      </c>
      <c r="L71" s="73">
        <v>0.0817511552</v>
      </c>
      <c r="M71" s="73">
        <v>0</v>
      </c>
    </row>
    <row r="72" spans="1:13" ht="16.5">
      <c r="A72" s="120" t="s">
        <v>180</v>
      </c>
      <c r="B72" s="122" t="s">
        <v>143</v>
      </c>
      <c r="C72" s="77"/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71">
        <v>9.4729963164</v>
      </c>
      <c r="J72" s="47">
        <v>0</v>
      </c>
      <c r="K72" s="47">
        <v>0</v>
      </c>
      <c r="L72" s="73">
        <v>9.4729963164</v>
      </c>
      <c r="M72" s="47">
        <v>0</v>
      </c>
    </row>
    <row r="74" ht="15.75">
      <c r="G74" s="124"/>
    </row>
  </sheetData>
  <sheetProtection selectLockedCells="1" selectUnlockedCells="1"/>
  <mergeCells count="14">
    <mergeCell ref="A10:M10"/>
    <mergeCell ref="A12:M12"/>
    <mergeCell ref="A13:M13"/>
    <mergeCell ref="A4:M4"/>
    <mergeCell ref="A6:M6"/>
    <mergeCell ref="A7:M7"/>
    <mergeCell ref="A9:M9"/>
    <mergeCell ref="A14:A17"/>
    <mergeCell ref="B14:B17"/>
    <mergeCell ref="C14:C17"/>
    <mergeCell ref="D14:M14"/>
    <mergeCell ref="D15:M15"/>
    <mergeCell ref="D16:H16"/>
    <mergeCell ref="I16:M16"/>
  </mergeCells>
  <dataValidations count="1">
    <dataValidation type="textLength" operator="lessThanOrEqual" allowBlank="1" showErrorMessage="1" errorTitle="Ошибка" error="Допускается ввод не более 900 символов!" sqref="B21 B31:B32 B34:B45 B47:B51 B53:B63 B65:B68">
      <formula1>900</formula1>
    </dataValidation>
  </dataValidation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8"/>
  <sheetViews>
    <sheetView view="pageBreakPreview" zoomScale="85" zoomScaleNormal="50" zoomScaleSheetLayoutView="85" zoomScalePageLayoutView="0" workbookViewId="0" topLeftCell="B7">
      <pane xSplit="1" topLeftCell="G2" activePane="topRight" state="frozen"/>
      <selection pane="topLeft" activeCell="B16" sqref="B16"/>
      <selection pane="topRight" activeCell="J20" sqref="J20"/>
    </sheetView>
  </sheetViews>
  <sheetFormatPr defaultColWidth="9.8515625" defaultRowHeight="12.75"/>
  <cols>
    <col min="1" max="1" width="14.57421875" style="1" customWidth="1"/>
    <col min="2" max="2" width="77.00390625" style="2" customWidth="1"/>
    <col min="3" max="3" width="16.421875" style="1" customWidth="1"/>
    <col min="4" max="4" width="21.421875" style="4" customWidth="1"/>
    <col min="5" max="5" width="12.57421875" style="4" customWidth="1"/>
    <col min="6" max="6" width="16.421875" style="4" customWidth="1"/>
    <col min="7" max="7" width="14.8515625" style="4" customWidth="1"/>
    <col min="8" max="8" width="14.28125" style="4" customWidth="1"/>
    <col min="9" max="9" width="12.140625" style="4" customWidth="1"/>
    <col min="10" max="10" width="12.00390625" style="4" customWidth="1"/>
    <col min="11" max="11" width="12.140625" style="4" customWidth="1"/>
    <col min="12" max="12" width="12.8515625" style="4" customWidth="1"/>
    <col min="13" max="13" width="10.8515625" style="4" customWidth="1"/>
    <col min="14" max="15" width="10.28125" style="4" customWidth="1"/>
    <col min="16" max="17" width="10.57421875" style="4" customWidth="1"/>
    <col min="18" max="18" width="10.8515625" style="4" customWidth="1"/>
    <col min="19" max="19" width="12.28125" style="4" customWidth="1"/>
    <col min="20" max="21" width="11.57421875" style="4" customWidth="1"/>
    <col min="22" max="23" width="10.00390625" style="4" customWidth="1"/>
    <col min="24" max="25" width="9.28125" style="4" customWidth="1"/>
    <col min="26" max="27" width="10.00390625" style="4" customWidth="1"/>
    <col min="28" max="28" width="14.28125" style="4" customWidth="1"/>
    <col min="29" max="29" width="11.7109375" style="4" customWidth="1"/>
    <col min="30" max="30" width="21.57421875" style="4" customWidth="1"/>
    <col min="31" max="31" width="11.7109375" style="4" customWidth="1"/>
    <col min="32" max="32" width="14.28125" style="4" customWidth="1"/>
    <col min="33" max="33" width="11.28125" style="6" customWidth="1"/>
    <col min="34" max="34" width="11.7109375" style="6" customWidth="1"/>
    <col min="35" max="35" width="42.28125" style="1" customWidth="1"/>
    <col min="36" max="36" width="12.00390625" style="7" customWidth="1"/>
    <col min="37" max="40" width="11.7109375" style="7" customWidth="1"/>
    <col min="41" max="41" width="13.28125" style="7" customWidth="1"/>
    <col min="42" max="42" width="12.57421875" style="7" customWidth="1"/>
    <col min="43" max="43" width="15.57421875" style="7" customWidth="1"/>
    <col min="44" max="44" width="16.57421875" style="7" customWidth="1"/>
    <col min="45" max="45" width="14.28125" style="7" customWidth="1"/>
    <col min="46" max="46" width="12.8515625" style="7" customWidth="1"/>
    <col min="47" max="47" width="19.28125" style="7" customWidth="1"/>
    <col min="48" max="16384" width="9.8515625" style="7" customWidth="1"/>
  </cols>
  <sheetData>
    <row r="1" spans="1:35" ht="18.75">
      <c r="A1" s="8"/>
      <c r="G1" s="4" t="s">
        <v>0</v>
      </c>
      <c r="AI1" s="9" t="s">
        <v>181</v>
      </c>
    </row>
    <row r="2" ht="18.75">
      <c r="AI2" s="9" t="s">
        <v>2</v>
      </c>
    </row>
    <row r="3" ht="18.75">
      <c r="AI3" s="9" t="s">
        <v>3</v>
      </c>
    </row>
    <row r="4" spans="1:35" ht="18.75">
      <c r="A4" s="345" t="s">
        <v>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</row>
    <row r="5" spans="23:35" ht="18.75">
      <c r="W5" s="11" t="s">
        <v>0</v>
      </c>
      <c r="X5" s="7"/>
      <c r="Y5" s="7"/>
      <c r="Z5" s="7"/>
      <c r="AA5" s="7"/>
      <c r="AB5" s="7"/>
      <c r="AC5" s="7"/>
      <c r="AD5" s="7"/>
      <c r="AE5" s="7"/>
      <c r="AF5" s="7"/>
      <c r="AG5" s="10"/>
      <c r="AH5" s="10"/>
      <c r="AI5" s="10"/>
    </row>
    <row r="6" spans="1:35" ht="18.75" customHeight="1">
      <c r="A6" s="346" t="s">
        <v>256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</row>
    <row r="7" spans="1:35" ht="18.75" customHeight="1">
      <c r="A7" s="346" t="s">
        <v>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</row>
    <row r="8" spans="1:35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125"/>
      <c r="AE8" s="7"/>
      <c r="AF8" s="7"/>
      <c r="AG8" s="10"/>
      <c r="AH8" s="10"/>
      <c r="AI8" s="10"/>
    </row>
    <row r="9" spans="1:35" ht="15.75">
      <c r="A9" s="344" t="s">
        <v>146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</row>
    <row r="10" spans="1:35" ht="15.7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7"/>
      <c r="Y10" s="7"/>
      <c r="Z10" s="7"/>
      <c r="AA10" s="7"/>
      <c r="AB10" s="7"/>
      <c r="AC10" s="7"/>
      <c r="AD10" s="7"/>
      <c r="AE10" s="7"/>
      <c r="AF10" s="7"/>
      <c r="AG10" s="10"/>
      <c r="AH10" s="10"/>
      <c r="AI10" s="10"/>
    </row>
    <row r="11" spans="1:35" ht="42.75">
      <c r="A11" s="17" t="s">
        <v>6</v>
      </c>
      <c r="B11" s="91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10"/>
      <c r="AH11" s="10"/>
      <c r="AI11" s="10"/>
    </row>
    <row r="12" spans="1:35" ht="18.75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</row>
    <row r="13" spans="1:36" ht="15.75">
      <c r="A13" s="356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126"/>
    </row>
    <row r="14" spans="1:36" ht="26.25" customHeight="1">
      <c r="A14" s="357" t="s">
        <v>182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127"/>
    </row>
    <row r="15" spans="1:35" ht="68.25" customHeight="1">
      <c r="A15" s="348" t="s">
        <v>8</v>
      </c>
      <c r="B15" s="348" t="s">
        <v>9</v>
      </c>
      <c r="C15" s="348" t="s">
        <v>148</v>
      </c>
      <c r="D15" s="352" t="s">
        <v>183</v>
      </c>
      <c r="E15" s="352" t="s">
        <v>184</v>
      </c>
      <c r="F15" s="352"/>
      <c r="G15" s="352" t="s">
        <v>185</v>
      </c>
      <c r="H15" s="352"/>
      <c r="I15" s="358" t="s">
        <v>186</v>
      </c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2" t="s">
        <v>187</v>
      </c>
      <c r="AD15" s="352"/>
      <c r="AE15" s="352" t="s">
        <v>188</v>
      </c>
      <c r="AF15" s="352"/>
      <c r="AG15" s="352"/>
      <c r="AH15" s="352"/>
      <c r="AI15" s="348" t="s">
        <v>19</v>
      </c>
    </row>
    <row r="16" spans="1:35" ht="31.5" customHeight="1">
      <c r="A16" s="348"/>
      <c r="B16" s="348"/>
      <c r="C16" s="348"/>
      <c r="D16" s="352"/>
      <c r="E16" s="352"/>
      <c r="F16" s="352"/>
      <c r="G16" s="352"/>
      <c r="H16" s="352"/>
      <c r="I16" s="352" t="s">
        <v>20</v>
      </c>
      <c r="J16" s="352"/>
      <c r="K16" s="352"/>
      <c r="L16" s="352"/>
      <c r="M16" s="358" t="s">
        <v>21</v>
      </c>
      <c r="N16" s="358"/>
      <c r="O16" s="358"/>
      <c r="P16" s="358"/>
      <c r="Q16" s="358" t="s">
        <v>22</v>
      </c>
      <c r="R16" s="358"/>
      <c r="S16" s="358"/>
      <c r="T16" s="358"/>
      <c r="U16" s="358" t="s">
        <v>23</v>
      </c>
      <c r="V16" s="358"/>
      <c r="W16" s="358"/>
      <c r="X16" s="358"/>
      <c r="Y16" s="358" t="s">
        <v>24</v>
      </c>
      <c r="Z16" s="358"/>
      <c r="AA16" s="358"/>
      <c r="AB16" s="358"/>
      <c r="AC16" s="352"/>
      <c r="AD16" s="352"/>
      <c r="AE16" s="352" t="s">
        <v>189</v>
      </c>
      <c r="AF16" s="352"/>
      <c r="AG16" s="353" t="s">
        <v>26</v>
      </c>
      <c r="AH16" s="353"/>
      <c r="AI16" s="348"/>
    </row>
    <row r="17" spans="1:35" ht="31.5" customHeight="1">
      <c r="A17" s="348"/>
      <c r="B17" s="348"/>
      <c r="C17" s="348"/>
      <c r="D17" s="352"/>
      <c r="E17" s="352"/>
      <c r="F17" s="352"/>
      <c r="G17" s="352"/>
      <c r="H17" s="352"/>
      <c r="I17" s="352" t="s">
        <v>30</v>
      </c>
      <c r="J17" s="352"/>
      <c r="K17" s="352" t="s">
        <v>190</v>
      </c>
      <c r="L17" s="352"/>
      <c r="M17" s="352" t="s">
        <v>30</v>
      </c>
      <c r="N17" s="352"/>
      <c r="O17" s="352" t="s">
        <v>190</v>
      </c>
      <c r="P17" s="352"/>
      <c r="Q17" s="352" t="s">
        <v>30</v>
      </c>
      <c r="R17" s="352"/>
      <c r="S17" s="352" t="s">
        <v>190</v>
      </c>
      <c r="T17" s="352"/>
      <c r="U17" s="352" t="s">
        <v>30</v>
      </c>
      <c r="V17" s="352"/>
      <c r="W17" s="352" t="s">
        <v>190</v>
      </c>
      <c r="X17" s="352"/>
      <c r="Y17" s="352" t="s">
        <v>30</v>
      </c>
      <c r="Z17" s="352"/>
      <c r="AA17" s="352" t="s">
        <v>190</v>
      </c>
      <c r="AB17" s="352"/>
      <c r="AC17" s="30"/>
      <c r="AD17" s="30"/>
      <c r="AE17" s="352"/>
      <c r="AF17" s="352"/>
      <c r="AG17" s="353"/>
      <c r="AH17" s="353"/>
      <c r="AI17" s="348"/>
    </row>
    <row r="18" spans="1:36" ht="155.25" customHeight="1">
      <c r="A18" s="348"/>
      <c r="B18" s="348"/>
      <c r="C18" s="348"/>
      <c r="D18" s="352"/>
      <c r="E18" s="128" t="s">
        <v>191</v>
      </c>
      <c r="F18" s="128" t="s">
        <v>192</v>
      </c>
      <c r="G18" s="128" t="s">
        <v>191</v>
      </c>
      <c r="H18" s="128" t="s">
        <v>192</v>
      </c>
      <c r="I18" s="128" t="s">
        <v>191</v>
      </c>
      <c r="J18" s="128" t="s">
        <v>192</v>
      </c>
      <c r="K18" s="128" t="s">
        <v>191</v>
      </c>
      <c r="L18" s="128" t="s">
        <v>192</v>
      </c>
      <c r="M18" s="128" t="s">
        <v>191</v>
      </c>
      <c r="N18" s="128" t="s">
        <v>192</v>
      </c>
      <c r="O18" s="128" t="s">
        <v>191</v>
      </c>
      <c r="P18" s="128" t="s">
        <v>192</v>
      </c>
      <c r="Q18" s="128" t="s">
        <v>191</v>
      </c>
      <c r="R18" s="128" t="s">
        <v>192</v>
      </c>
      <c r="S18" s="128" t="s">
        <v>191</v>
      </c>
      <c r="T18" s="128" t="s">
        <v>192</v>
      </c>
      <c r="U18" s="128" t="s">
        <v>191</v>
      </c>
      <c r="V18" s="128" t="s">
        <v>192</v>
      </c>
      <c r="W18" s="128" t="s">
        <v>191</v>
      </c>
      <c r="X18" s="128" t="s">
        <v>192</v>
      </c>
      <c r="Y18" s="128" t="s">
        <v>191</v>
      </c>
      <c r="Z18" s="128" t="s">
        <v>192</v>
      </c>
      <c r="AA18" s="128" t="s">
        <v>191</v>
      </c>
      <c r="AB18" s="128" t="s">
        <v>192</v>
      </c>
      <c r="AC18" s="128" t="s">
        <v>193</v>
      </c>
      <c r="AD18" s="128" t="s">
        <v>192</v>
      </c>
      <c r="AE18" s="128" t="s">
        <v>193</v>
      </c>
      <c r="AF18" s="128" t="s">
        <v>192</v>
      </c>
      <c r="AG18" s="129" t="s">
        <v>193</v>
      </c>
      <c r="AH18" s="129" t="s">
        <v>192</v>
      </c>
      <c r="AI18" s="348"/>
      <c r="AJ18" s="41"/>
    </row>
    <row r="19" spans="1:38" ht="20.25" customHeight="1">
      <c r="A19" s="29">
        <v>1</v>
      </c>
      <c r="B19" s="29">
        <v>2</v>
      </c>
      <c r="C19" s="29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0">
        <v>14</v>
      </c>
      <c r="O19" s="30">
        <v>15</v>
      </c>
      <c r="P19" s="30">
        <v>16</v>
      </c>
      <c r="Q19" s="30">
        <v>17</v>
      </c>
      <c r="R19" s="30">
        <v>18</v>
      </c>
      <c r="S19" s="30">
        <v>19</v>
      </c>
      <c r="T19" s="30">
        <v>20</v>
      </c>
      <c r="U19" s="30">
        <v>21</v>
      </c>
      <c r="V19" s="30">
        <v>22</v>
      </c>
      <c r="W19" s="30">
        <v>23</v>
      </c>
      <c r="X19" s="30">
        <v>24</v>
      </c>
      <c r="Y19" s="30">
        <v>25</v>
      </c>
      <c r="Z19" s="30">
        <v>26</v>
      </c>
      <c r="AA19" s="30">
        <v>27</v>
      </c>
      <c r="AB19" s="30">
        <v>28</v>
      </c>
      <c r="AC19" s="30">
        <v>29</v>
      </c>
      <c r="AD19" s="30">
        <v>30</v>
      </c>
      <c r="AE19" s="30">
        <v>31</v>
      </c>
      <c r="AF19" s="30">
        <v>32</v>
      </c>
      <c r="AG19" s="30">
        <v>33</v>
      </c>
      <c r="AH19" s="30">
        <v>34</v>
      </c>
      <c r="AI19" s="29">
        <v>35</v>
      </c>
      <c r="AJ19" s="41"/>
      <c r="AK19" s="130"/>
      <c r="AL19" s="44"/>
    </row>
    <row r="20" spans="1:36" ht="18.75">
      <c r="A20" s="32"/>
      <c r="B20" s="33" t="s">
        <v>32</v>
      </c>
      <c r="C20" s="34"/>
      <c r="D20" s="36">
        <f>D21+D30+D65</f>
        <v>18.177477999999994</v>
      </c>
      <c r="E20" s="131"/>
      <c r="F20" s="131">
        <f>F21+F30+F65</f>
        <v>0</v>
      </c>
      <c r="G20" s="132"/>
      <c r="H20" s="131">
        <f>H21+H30+H65</f>
        <v>0</v>
      </c>
      <c r="I20" s="132"/>
      <c r="J20" s="36">
        <f>J21+J30+J65</f>
        <v>18.177477999999994</v>
      </c>
      <c r="K20" s="132"/>
      <c r="L20" s="36">
        <f>L21+L30+L65</f>
        <v>18.18227015898305</v>
      </c>
      <c r="M20" s="133"/>
      <c r="N20" s="131">
        <f>N21+N30+N65</f>
        <v>0</v>
      </c>
      <c r="O20" s="132"/>
      <c r="P20" s="36">
        <f>P21+P30+P65</f>
        <v>0.52817787</v>
      </c>
      <c r="Q20" s="48"/>
      <c r="R20" s="36">
        <f>R21+R30+R65</f>
        <v>0.239476752</v>
      </c>
      <c r="S20" s="48"/>
      <c r="T20" s="36">
        <f>T21+T30+T65</f>
        <v>1.75206974</v>
      </c>
      <c r="U20" s="48"/>
      <c r="V20" s="36">
        <f>V21+V30+V65</f>
        <v>2.115377976</v>
      </c>
      <c r="W20" s="48"/>
      <c r="X20" s="36">
        <f>X21+X30+X65</f>
        <v>5.08801235</v>
      </c>
      <c r="Y20" s="48"/>
      <c r="Z20" s="36">
        <f>Z21+Z30+Z65</f>
        <v>15.82262327199999</v>
      </c>
      <c r="AA20" s="48"/>
      <c r="AB20" s="36">
        <f>AB21+AB30+AB65</f>
        <v>10.81401019898305</v>
      </c>
      <c r="AC20" s="132"/>
      <c r="AD20" s="131">
        <f>AD21+AD30+AD65</f>
        <v>-5.008613073016941</v>
      </c>
      <c r="AE20" s="134" t="s">
        <v>194</v>
      </c>
      <c r="AF20" s="131">
        <f>AF21+AF30+AF65</f>
        <v>0.0047921589830597355</v>
      </c>
      <c r="AG20" s="131"/>
      <c r="AH20" s="37">
        <f>AF20/J20</f>
        <v>0.00026363167558556455</v>
      </c>
      <c r="AI20" s="38"/>
      <c r="AJ20" s="41"/>
    </row>
    <row r="21" spans="1:35" ht="18.75">
      <c r="A21" s="135" t="s">
        <v>34</v>
      </c>
      <c r="B21" s="33" t="s">
        <v>35</v>
      </c>
      <c r="C21" s="34"/>
      <c r="D21" s="134">
        <f>D22</f>
        <v>0</v>
      </c>
      <c r="E21" s="134">
        <v>0</v>
      </c>
      <c r="F21" s="134">
        <f>F22</f>
        <v>0</v>
      </c>
      <c r="G21" s="134">
        <v>0</v>
      </c>
      <c r="H21" s="134">
        <f>H22</f>
        <v>0</v>
      </c>
      <c r="I21" s="134" t="str">
        <f>I22</f>
        <v>нд</v>
      </c>
      <c r="J21" s="134">
        <f>J22</f>
        <v>0</v>
      </c>
      <c r="K21" s="134" t="str">
        <f>K22</f>
        <v>нд</v>
      </c>
      <c r="L21" s="134">
        <f>SUM(L22:L29)</f>
        <v>2.01279925</v>
      </c>
      <c r="M21" s="134" t="str">
        <f aca="true" t="shared" si="0" ref="M21:S21">M22</f>
        <v>нд</v>
      </c>
      <c r="N21" s="134">
        <f t="shared" si="0"/>
        <v>0</v>
      </c>
      <c r="O21" s="134" t="str">
        <f t="shared" si="0"/>
        <v>нд</v>
      </c>
      <c r="P21" s="134">
        <f t="shared" si="0"/>
        <v>0.08665997</v>
      </c>
      <c r="Q21" s="134" t="str">
        <f t="shared" si="0"/>
        <v>нд</v>
      </c>
      <c r="R21" s="134">
        <f t="shared" si="0"/>
        <v>0</v>
      </c>
      <c r="S21" s="134" t="str">
        <f t="shared" si="0"/>
        <v>нд</v>
      </c>
      <c r="T21" s="134">
        <f>SUM(T22:T29)</f>
        <v>0</v>
      </c>
      <c r="U21" s="134" t="str">
        <f>U22</f>
        <v>нд</v>
      </c>
      <c r="V21" s="134">
        <f>V22</f>
        <v>0</v>
      </c>
      <c r="W21" s="134" t="str">
        <f>W22</f>
        <v>нд</v>
      </c>
      <c r="X21" s="134">
        <f>SUM(X22:X29)</f>
        <v>0.66687897</v>
      </c>
      <c r="Y21" s="134" t="str">
        <f>Y22</f>
        <v>нд</v>
      </c>
      <c r="Z21" s="134">
        <f>Z22</f>
        <v>0</v>
      </c>
      <c r="AA21" s="134" t="str">
        <f>AA22</f>
        <v>нд</v>
      </c>
      <c r="AB21" s="134">
        <f>SUM(AB22:AB29)</f>
        <v>1.2592603100000002</v>
      </c>
      <c r="AC21" s="134" t="str">
        <f>AC22</f>
        <v>нд</v>
      </c>
      <c r="AD21" s="134">
        <f>SUM(AD22:AD29)</f>
        <v>1.2592603100000002</v>
      </c>
      <c r="AE21" s="134" t="s">
        <v>194</v>
      </c>
      <c r="AF21" s="131">
        <f aca="true" t="shared" si="1" ref="AF21:AF52">L21-J21</f>
        <v>2.01279925</v>
      </c>
      <c r="AG21" s="133" t="s">
        <v>194</v>
      </c>
      <c r="AH21" s="37"/>
      <c r="AI21" s="38"/>
    </row>
    <row r="22" spans="1:35" ht="33">
      <c r="A22" s="45" t="s">
        <v>155</v>
      </c>
      <c r="B22" s="46" t="s">
        <v>195</v>
      </c>
      <c r="C22" s="34"/>
      <c r="D22" s="133">
        <v>0</v>
      </c>
      <c r="E22" s="133" t="s">
        <v>194</v>
      </c>
      <c r="F22" s="133">
        <v>0</v>
      </c>
      <c r="G22" s="133" t="s">
        <v>194</v>
      </c>
      <c r="H22" s="133">
        <v>0</v>
      </c>
      <c r="I22" s="133" t="s">
        <v>194</v>
      </c>
      <c r="J22" s="133">
        <v>0</v>
      </c>
      <c r="K22" s="133" t="s">
        <v>194</v>
      </c>
      <c r="L22" s="133">
        <f aca="true" t="shared" si="2" ref="L22:L29">P22+T22+X22+AB22</f>
        <v>0.08665997</v>
      </c>
      <c r="M22" s="133" t="s">
        <v>194</v>
      </c>
      <c r="N22" s="133">
        <v>0</v>
      </c>
      <c r="O22" s="133" t="s">
        <v>194</v>
      </c>
      <c r="P22" s="133">
        <f>86.65997/1000</f>
        <v>0.08665997</v>
      </c>
      <c r="Q22" s="133" t="s">
        <v>194</v>
      </c>
      <c r="R22" s="133">
        <v>0</v>
      </c>
      <c r="S22" s="133" t="s">
        <v>194</v>
      </c>
      <c r="T22" s="133">
        <v>0</v>
      </c>
      <c r="U22" s="133" t="s">
        <v>194</v>
      </c>
      <c r="V22" s="133">
        <v>0</v>
      </c>
      <c r="W22" s="133" t="s">
        <v>194</v>
      </c>
      <c r="X22" s="133">
        <v>0</v>
      </c>
      <c r="Y22" s="133" t="s">
        <v>194</v>
      </c>
      <c r="Z22" s="133">
        <v>0</v>
      </c>
      <c r="AA22" s="133" t="s">
        <v>194</v>
      </c>
      <c r="AB22" s="133">
        <v>0</v>
      </c>
      <c r="AC22" s="133" t="s">
        <v>194</v>
      </c>
      <c r="AD22" s="132">
        <f aca="true" t="shared" si="3" ref="AD22:AD73">AB22-Z22</f>
        <v>0</v>
      </c>
      <c r="AE22" s="133" t="s">
        <v>194</v>
      </c>
      <c r="AF22" s="132">
        <f t="shared" si="1"/>
        <v>0.08665997</v>
      </c>
      <c r="AG22" s="133" t="s">
        <v>194</v>
      </c>
      <c r="AH22" s="59"/>
      <c r="AI22" s="38" t="s">
        <v>38</v>
      </c>
    </row>
    <row r="23" spans="1:35" ht="33">
      <c r="A23" s="45" t="s">
        <v>156</v>
      </c>
      <c r="B23" s="46" t="s">
        <v>40</v>
      </c>
      <c r="C23" s="34"/>
      <c r="D23" s="133">
        <v>0</v>
      </c>
      <c r="E23" s="133" t="s">
        <v>194</v>
      </c>
      <c r="F23" s="133">
        <v>0</v>
      </c>
      <c r="G23" s="133" t="s">
        <v>194</v>
      </c>
      <c r="H23" s="133">
        <v>0</v>
      </c>
      <c r="I23" s="133" t="s">
        <v>194</v>
      </c>
      <c r="J23" s="133">
        <f>N23+R23+V23+Z23</f>
        <v>0</v>
      </c>
      <c r="K23" s="133" t="s">
        <v>194</v>
      </c>
      <c r="L23" s="133">
        <f t="shared" si="2"/>
        <v>0.24244696</v>
      </c>
      <c r="M23" s="133" t="s">
        <v>194</v>
      </c>
      <c r="N23" s="133">
        <v>0</v>
      </c>
      <c r="O23" s="133" t="s">
        <v>194</v>
      </c>
      <c r="P23" s="133">
        <v>0</v>
      </c>
      <c r="Q23" s="133" t="s">
        <v>194</v>
      </c>
      <c r="R23" s="133">
        <v>0</v>
      </c>
      <c r="S23" s="133" t="s">
        <v>194</v>
      </c>
      <c r="T23" s="133">
        <v>0</v>
      </c>
      <c r="U23" s="133" t="s">
        <v>194</v>
      </c>
      <c r="V23" s="133">
        <v>0</v>
      </c>
      <c r="W23" s="133" t="s">
        <v>194</v>
      </c>
      <c r="X23" s="136">
        <f>242.44696/1000</f>
        <v>0.24244696</v>
      </c>
      <c r="Y23" s="133" t="s">
        <v>194</v>
      </c>
      <c r="Z23" s="133">
        <v>0</v>
      </c>
      <c r="AA23" s="133" t="s">
        <v>194</v>
      </c>
      <c r="AB23" s="133">
        <v>0</v>
      </c>
      <c r="AC23" s="133" t="s">
        <v>194</v>
      </c>
      <c r="AD23" s="132">
        <f t="shared" si="3"/>
        <v>0</v>
      </c>
      <c r="AE23" s="133" t="s">
        <v>194</v>
      </c>
      <c r="AF23" s="132">
        <f t="shared" si="1"/>
        <v>0.24244696</v>
      </c>
      <c r="AG23" s="133" t="s">
        <v>194</v>
      </c>
      <c r="AH23" s="59"/>
      <c r="AI23" s="38" t="s">
        <v>38</v>
      </c>
    </row>
    <row r="24" spans="1:35" ht="33">
      <c r="A24" s="45" t="s">
        <v>158</v>
      </c>
      <c r="B24" s="46" t="s">
        <v>42</v>
      </c>
      <c r="C24" s="34"/>
      <c r="D24" s="133">
        <v>0</v>
      </c>
      <c r="E24" s="133" t="s">
        <v>194</v>
      </c>
      <c r="F24" s="133">
        <v>0</v>
      </c>
      <c r="G24" s="133" t="s">
        <v>194</v>
      </c>
      <c r="H24" s="133">
        <v>0</v>
      </c>
      <c r="I24" s="133" t="s">
        <v>194</v>
      </c>
      <c r="J24" s="133">
        <v>0</v>
      </c>
      <c r="K24" s="133" t="s">
        <v>194</v>
      </c>
      <c r="L24" s="133">
        <f t="shared" si="2"/>
        <v>0.1042821</v>
      </c>
      <c r="M24" s="133" t="s">
        <v>194</v>
      </c>
      <c r="N24" s="133">
        <v>0</v>
      </c>
      <c r="O24" s="133" t="s">
        <v>194</v>
      </c>
      <c r="P24" s="133">
        <v>0</v>
      </c>
      <c r="Q24" s="133" t="s">
        <v>194</v>
      </c>
      <c r="R24" s="133">
        <v>0</v>
      </c>
      <c r="S24" s="133" t="s">
        <v>194</v>
      </c>
      <c r="T24" s="133">
        <v>0</v>
      </c>
      <c r="U24" s="133" t="s">
        <v>194</v>
      </c>
      <c r="V24" s="133">
        <v>0</v>
      </c>
      <c r="W24" s="133" t="s">
        <v>194</v>
      </c>
      <c r="X24" s="136">
        <f>104.2821/1000</f>
        <v>0.1042821</v>
      </c>
      <c r="Y24" s="133" t="s">
        <v>194</v>
      </c>
      <c r="Z24" s="133">
        <v>0</v>
      </c>
      <c r="AA24" s="133" t="s">
        <v>194</v>
      </c>
      <c r="AB24" s="133">
        <v>0</v>
      </c>
      <c r="AC24" s="133" t="s">
        <v>194</v>
      </c>
      <c r="AD24" s="132">
        <f t="shared" si="3"/>
        <v>0</v>
      </c>
      <c r="AE24" s="133" t="s">
        <v>194</v>
      </c>
      <c r="AF24" s="132">
        <f t="shared" si="1"/>
        <v>0.1042821</v>
      </c>
      <c r="AG24" s="133" t="s">
        <v>194</v>
      </c>
      <c r="AH24" s="59"/>
      <c r="AI24" s="38" t="s">
        <v>38</v>
      </c>
    </row>
    <row r="25" spans="1:35" ht="42" customHeight="1">
      <c r="A25" s="45" t="s">
        <v>159</v>
      </c>
      <c r="B25" s="46" t="s">
        <v>44</v>
      </c>
      <c r="C25" s="34"/>
      <c r="D25" s="133">
        <v>0</v>
      </c>
      <c r="E25" s="133" t="s">
        <v>194</v>
      </c>
      <c r="F25" s="133">
        <v>0</v>
      </c>
      <c r="G25" s="133" t="s">
        <v>194</v>
      </c>
      <c r="H25" s="133">
        <v>0</v>
      </c>
      <c r="I25" s="133" t="s">
        <v>194</v>
      </c>
      <c r="J25" s="133">
        <v>0</v>
      </c>
      <c r="K25" s="133" t="s">
        <v>194</v>
      </c>
      <c r="L25" s="133">
        <f t="shared" si="2"/>
        <v>0.92457542</v>
      </c>
      <c r="M25" s="133" t="s">
        <v>194</v>
      </c>
      <c r="N25" s="133">
        <v>0</v>
      </c>
      <c r="O25" s="133" t="s">
        <v>194</v>
      </c>
      <c r="P25" s="133">
        <v>0</v>
      </c>
      <c r="Q25" s="133" t="s">
        <v>194</v>
      </c>
      <c r="R25" s="133">
        <v>0</v>
      </c>
      <c r="S25" s="133" t="s">
        <v>194</v>
      </c>
      <c r="T25" s="133">
        <v>0</v>
      </c>
      <c r="U25" s="133" t="s">
        <v>194</v>
      </c>
      <c r="V25" s="133">
        <v>0</v>
      </c>
      <c r="W25" s="133" t="s">
        <v>194</v>
      </c>
      <c r="X25" s="136">
        <f>320.14991/1000</f>
        <v>0.32014991</v>
      </c>
      <c r="Y25" s="133" t="s">
        <v>194</v>
      </c>
      <c r="Z25" s="133">
        <v>0</v>
      </c>
      <c r="AA25" s="133" t="s">
        <v>194</v>
      </c>
      <c r="AB25" s="133">
        <f>'10  финансирование'!T26/1.18</f>
        <v>0.60442551</v>
      </c>
      <c r="AC25" s="133" t="s">
        <v>194</v>
      </c>
      <c r="AD25" s="132">
        <f t="shared" si="3"/>
        <v>0.60442551</v>
      </c>
      <c r="AE25" s="133" t="s">
        <v>194</v>
      </c>
      <c r="AF25" s="132">
        <f t="shared" si="1"/>
        <v>0.92457542</v>
      </c>
      <c r="AG25" s="133" t="s">
        <v>194</v>
      </c>
      <c r="AH25" s="59"/>
      <c r="AI25" s="38" t="s">
        <v>38</v>
      </c>
    </row>
    <row r="26" spans="1:35" ht="33">
      <c r="A26" s="45" t="s">
        <v>160</v>
      </c>
      <c r="B26" s="46" t="s">
        <v>46</v>
      </c>
      <c r="C26" s="34"/>
      <c r="D26" s="133">
        <v>0</v>
      </c>
      <c r="E26" s="133" t="s">
        <v>194</v>
      </c>
      <c r="F26" s="133">
        <v>0</v>
      </c>
      <c r="G26" s="133" t="s">
        <v>194</v>
      </c>
      <c r="H26" s="133">
        <v>0</v>
      </c>
      <c r="I26" s="133" t="s">
        <v>194</v>
      </c>
      <c r="J26" s="133">
        <v>0</v>
      </c>
      <c r="K26" s="133" t="s">
        <v>194</v>
      </c>
      <c r="L26" s="133">
        <f t="shared" si="2"/>
        <v>0.03300479</v>
      </c>
      <c r="M26" s="133" t="s">
        <v>194</v>
      </c>
      <c r="N26" s="133">
        <v>0</v>
      </c>
      <c r="O26" s="133" t="s">
        <v>194</v>
      </c>
      <c r="P26" s="133">
        <v>0</v>
      </c>
      <c r="Q26" s="133" t="s">
        <v>194</v>
      </c>
      <c r="R26" s="133">
        <v>0</v>
      </c>
      <c r="S26" s="133" t="s">
        <v>194</v>
      </c>
      <c r="T26" s="133">
        <v>0</v>
      </c>
      <c r="U26" s="133" t="s">
        <v>194</v>
      </c>
      <c r="V26" s="133">
        <v>0</v>
      </c>
      <c r="W26" s="133" t="s">
        <v>194</v>
      </c>
      <c r="X26" s="133">
        <v>0</v>
      </c>
      <c r="Y26" s="133" t="s">
        <v>194</v>
      </c>
      <c r="Z26" s="133">
        <v>0</v>
      </c>
      <c r="AA26" s="133" t="s">
        <v>194</v>
      </c>
      <c r="AB26" s="133">
        <f>'10  финансирование'!T27/1.18</f>
        <v>0.03300479</v>
      </c>
      <c r="AC26" s="133" t="s">
        <v>194</v>
      </c>
      <c r="AD26" s="132">
        <f t="shared" si="3"/>
        <v>0.03300479</v>
      </c>
      <c r="AE26" s="133" t="s">
        <v>194</v>
      </c>
      <c r="AF26" s="132">
        <f t="shared" si="1"/>
        <v>0.03300479</v>
      </c>
      <c r="AG26" s="133" t="s">
        <v>194</v>
      </c>
      <c r="AH26" s="59"/>
      <c r="AI26" s="38" t="s">
        <v>38</v>
      </c>
    </row>
    <row r="27" spans="1:35" ht="33">
      <c r="A27" s="45" t="s">
        <v>161</v>
      </c>
      <c r="B27" s="100" t="s">
        <v>48</v>
      </c>
      <c r="C27" s="34"/>
      <c r="D27" s="133">
        <v>0</v>
      </c>
      <c r="E27" s="133" t="s">
        <v>194</v>
      </c>
      <c r="F27" s="133">
        <v>0</v>
      </c>
      <c r="G27" s="133" t="s">
        <v>194</v>
      </c>
      <c r="H27" s="133">
        <v>0</v>
      </c>
      <c r="I27" s="133" t="s">
        <v>194</v>
      </c>
      <c r="J27" s="133">
        <v>0</v>
      </c>
      <c r="K27" s="133" t="s">
        <v>194</v>
      </c>
      <c r="L27" s="133">
        <f t="shared" si="2"/>
        <v>0.20716802999999998</v>
      </c>
      <c r="M27" s="133" t="s">
        <v>194</v>
      </c>
      <c r="N27" s="133">
        <v>0</v>
      </c>
      <c r="O27" s="133" t="s">
        <v>194</v>
      </c>
      <c r="P27" s="133">
        <v>0</v>
      </c>
      <c r="Q27" s="133" t="s">
        <v>194</v>
      </c>
      <c r="R27" s="133">
        <v>0</v>
      </c>
      <c r="S27" s="133" t="s">
        <v>194</v>
      </c>
      <c r="T27" s="133">
        <v>0</v>
      </c>
      <c r="U27" s="133" t="s">
        <v>194</v>
      </c>
      <c r="V27" s="133">
        <v>0</v>
      </c>
      <c r="W27" s="133" t="s">
        <v>194</v>
      </c>
      <c r="X27" s="133">
        <v>0</v>
      </c>
      <c r="Y27" s="133" t="s">
        <v>194</v>
      </c>
      <c r="Z27" s="133">
        <v>0</v>
      </c>
      <c r="AA27" s="133" t="s">
        <v>194</v>
      </c>
      <c r="AB27" s="133">
        <f>'10  финансирование'!T28/1.18</f>
        <v>0.20716802999999998</v>
      </c>
      <c r="AC27" s="133" t="s">
        <v>194</v>
      </c>
      <c r="AD27" s="132">
        <f t="shared" si="3"/>
        <v>0.20716802999999998</v>
      </c>
      <c r="AE27" s="133" t="s">
        <v>194</v>
      </c>
      <c r="AF27" s="132">
        <f t="shared" si="1"/>
        <v>0.20716802999999998</v>
      </c>
      <c r="AG27" s="133" t="s">
        <v>194</v>
      </c>
      <c r="AH27" s="59"/>
      <c r="AI27" s="38" t="s">
        <v>38</v>
      </c>
    </row>
    <row r="28" spans="1:35" ht="39" customHeight="1">
      <c r="A28" s="45" t="s">
        <v>162</v>
      </c>
      <c r="B28" s="100" t="s">
        <v>50</v>
      </c>
      <c r="C28" s="34"/>
      <c r="D28" s="133">
        <v>0</v>
      </c>
      <c r="E28" s="133" t="s">
        <v>194</v>
      </c>
      <c r="F28" s="133">
        <v>0</v>
      </c>
      <c r="G28" s="133" t="s">
        <v>194</v>
      </c>
      <c r="H28" s="133">
        <v>0</v>
      </c>
      <c r="I28" s="133" t="s">
        <v>194</v>
      </c>
      <c r="J28" s="133">
        <v>0</v>
      </c>
      <c r="K28" s="133" t="s">
        <v>194</v>
      </c>
      <c r="L28" s="133">
        <f t="shared" si="2"/>
        <v>0.21679145000000002</v>
      </c>
      <c r="M28" s="133" t="s">
        <v>194</v>
      </c>
      <c r="N28" s="133">
        <v>0</v>
      </c>
      <c r="O28" s="133" t="s">
        <v>194</v>
      </c>
      <c r="P28" s="133">
        <v>0</v>
      </c>
      <c r="Q28" s="133" t="s">
        <v>194</v>
      </c>
      <c r="R28" s="133">
        <v>0</v>
      </c>
      <c r="S28" s="133" t="s">
        <v>194</v>
      </c>
      <c r="T28" s="133">
        <v>0</v>
      </c>
      <c r="U28" s="133" t="s">
        <v>194</v>
      </c>
      <c r="V28" s="133">
        <v>0</v>
      </c>
      <c r="W28" s="133" t="s">
        <v>194</v>
      </c>
      <c r="X28" s="133">
        <v>0</v>
      </c>
      <c r="Y28" s="133" t="s">
        <v>194</v>
      </c>
      <c r="Z28" s="133">
        <v>0</v>
      </c>
      <c r="AA28" s="133" t="s">
        <v>194</v>
      </c>
      <c r="AB28" s="133">
        <f>'10  финансирование'!T29/1.18</f>
        <v>0.21679145000000002</v>
      </c>
      <c r="AC28" s="133" t="s">
        <v>194</v>
      </c>
      <c r="AD28" s="132">
        <f t="shared" si="3"/>
        <v>0.21679145000000002</v>
      </c>
      <c r="AE28" s="133" t="s">
        <v>194</v>
      </c>
      <c r="AF28" s="132">
        <f t="shared" si="1"/>
        <v>0.21679145000000002</v>
      </c>
      <c r="AG28" s="133" t="s">
        <v>194</v>
      </c>
      <c r="AH28" s="59"/>
      <c r="AI28" s="38" t="s">
        <v>38</v>
      </c>
    </row>
    <row r="29" spans="1:35" ht="53.25" customHeight="1">
      <c r="A29" s="45" t="s">
        <v>163</v>
      </c>
      <c r="B29" s="100" t="s">
        <v>52</v>
      </c>
      <c r="C29" s="34"/>
      <c r="D29" s="133">
        <v>0</v>
      </c>
      <c r="E29" s="133" t="s">
        <v>194</v>
      </c>
      <c r="F29" s="133">
        <v>0</v>
      </c>
      <c r="G29" s="133" t="s">
        <v>194</v>
      </c>
      <c r="H29" s="133">
        <v>0</v>
      </c>
      <c r="I29" s="133" t="s">
        <v>194</v>
      </c>
      <c r="J29" s="133">
        <v>0</v>
      </c>
      <c r="K29" s="133" t="s">
        <v>194</v>
      </c>
      <c r="L29" s="133">
        <f t="shared" si="2"/>
        <v>0.19787053</v>
      </c>
      <c r="M29" s="133" t="s">
        <v>194</v>
      </c>
      <c r="N29" s="133">
        <v>0</v>
      </c>
      <c r="O29" s="133" t="s">
        <v>194</v>
      </c>
      <c r="P29" s="133">
        <v>0</v>
      </c>
      <c r="Q29" s="133" t="s">
        <v>194</v>
      </c>
      <c r="R29" s="133">
        <v>0</v>
      </c>
      <c r="S29" s="133" t="s">
        <v>194</v>
      </c>
      <c r="T29" s="133">
        <v>0</v>
      </c>
      <c r="U29" s="133" t="s">
        <v>194</v>
      </c>
      <c r="V29" s="133">
        <v>0</v>
      </c>
      <c r="W29" s="133" t="s">
        <v>194</v>
      </c>
      <c r="X29" s="133">
        <v>0</v>
      </c>
      <c r="Y29" s="133" t="s">
        <v>194</v>
      </c>
      <c r="Z29" s="133">
        <v>0</v>
      </c>
      <c r="AA29" s="133" t="s">
        <v>194</v>
      </c>
      <c r="AB29" s="133">
        <f>'10  финансирование'!T30/1.18</f>
        <v>0.19787053</v>
      </c>
      <c r="AC29" s="133" t="s">
        <v>194</v>
      </c>
      <c r="AD29" s="132">
        <f t="shared" si="3"/>
        <v>0.19787053</v>
      </c>
      <c r="AE29" s="133" t="s">
        <v>194</v>
      </c>
      <c r="AF29" s="132">
        <f t="shared" si="1"/>
        <v>0.19787053</v>
      </c>
      <c r="AG29" s="133" t="s">
        <v>194</v>
      </c>
      <c r="AH29" s="59"/>
      <c r="AI29" s="38" t="s">
        <v>38</v>
      </c>
    </row>
    <row r="30" spans="1:35" ht="42.75" customHeight="1">
      <c r="A30" s="49" t="s">
        <v>53</v>
      </c>
      <c r="B30" s="33" t="s">
        <v>54</v>
      </c>
      <c r="C30" s="34"/>
      <c r="D30" s="131">
        <f>D31+D34+D47+D53</f>
        <v>12.194854728000001</v>
      </c>
      <c r="E30" s="134" t="s">
        <v>194</v>
      </c>
      <c r="F30" s="134">
        <v>0</v>
      </c>
      <c r="G30" s="133" t="s">
        <v>194</v>
      </c>
      <c r="H30" s="134">
        <v>0</v>
      </c>
      <c r="I30" s="134" t="s">
        <v>194</v>
      </c>
      <c r="J30" s="131">
        <f>J31+J34+J47+J53</f>
        <v>12.194854728000001</v>
      </c>
      <c r="K30" s="134" t="s">
        <v>194</v>
      </c>
      <c r="L30" s="131">
        <f>L31+L34+L47+L53</f>
        <v>1.9793296399999998</v>
      </c>
      <c r="M30" s="131">
        <v>0</v>
      </c>
      <c r="N30" s="131">
        <f>N31+N34+N47+N53</f>
        <v>0</v>
      </c>
      <c r="O30" s="131">
        <v>0</v>
      </c>
      <c r="P30" s="131">
        <f>P31+P34+P47+P53</f>
        <v>0.43529468000000004</v>
      </c>
      <c r="Q30" s="134" t="s">
        <v>194</v>
      </c>
      <c r="R30" s="131">
        <f>R31+R34+R47+R53</f>
        <v>0.239476752</v>
      </c>
      <c r="S30" s="131"/>
      <c r="T30" s="131">
        <f>T31+T34+T47+T53</f>
        <v>0.77951162</v>
      </c>
      <c r="U30" s="134" t="s">
        <v>194</v>
      </c>
      <c r="V30" s="131">
        <f>V31+V34+V47+V53</f>
        <v>2.115377976</v>
      </c>
      <c r="W30" s="134" t="s">
        <v>194</v>
      </c>
      <c r="X30" s="131">
        <f>X31+X34+X47+X53</f>
        <v>0.34869948</v>
      </c>
      <c r="Y30" s="134" t="s">
        <v>194</v>
      </c>
      <c r="Z30" s="131">
        <f>Z31+Z34+Z47+Z53</f>
        <v>9.84</v>
      </c>
      <c r="AA30" s="134" t="s">
        <v>194</v>
      </c>
      <c r="AB30" s="131">
        <f>AB31+AB34+AB47+AB53</f>
        <v>0.41582386000000005</v>
      </c>
      <c r="AC30" s="134" t="s">
        <v>194</v>
      </c>
      <c r="AD30" s="131">
        <f t="shared" si="3"/>
        <v>-9.42417614</v>
      </c>
      <c r="AE30" s="134" t="s">
        <v>194</v>
      </c>
      <c r="AF30" s="132">
        <f t="shared" si="1"/>
        <v>-10.215525088000001</v>
      </c>
      <c r="AG30" s="133" t="s">
        <v>194</v>
      </c>
      <c r="AH30" s="37">
        <f>AF30/J30</f>
        <v>-0.8376914129648991</v>
      </c>
      <c r="AI30" s="51"/>
    </row>
    <row r="31" spans="1:35" ht="33">
      <c r="A31" s="137" t="s">
        <v>164</v>
      </c>
      <c r="B31" s="33" t="s">
        <v>56</v>
      </c>
      <c r="C31" s="34"/>
      <c r="D31" s="131">
        <f>D33+D32</f>
        <v>5.4</v>
      </c>
      <c r="E31" s="134" t="s">
        <v>194</v>
      </c>
      <c r="F31" s="134">
        <v>0</v>
      </c>
      <c r="G31" s="133" t="s">
        <v>194</v>
      </c>
      <c r="H31" s="134">
        <v>0</v>
      </c>
      <c r="I31" s="134" t="s">
        <v>194</v>
      </c>
      <c r="J31" s="131">
        <f>J33</f>
        <v>5.4</v>
      </c>
      <c r="K31" s="134" t="s">
        <v>194</v>
      </c>
      <c r="L31" s="134">
        <f>P31+T31+X31+AB31</f>
        <v>0.044</v>
      </c>
      <c r="M31" s="134" t="s">
        <v>194</v>
      </c>
      <c r="N31" s="131">
        <f>N33</f>
        <v>0</v>
      </c>
      <c r="O31" s="134" t="s">
        <v>194</v>
      </c>
      <c r="P31" s="131">
        <f>P33</f>
        <v>0</v>
      </c>
      <c r="Q31" s="134" t="s">
        <v>194</v>
      </c>
      <c r="R31" s="131">
        <f>R33</f>
        <v>0</v>
      </c>
      <c r="S31" s="134" t="s">
        <v>194</v>
      </c>
      <c r="T31" s="131">
        <f>T32+T33</f>
        <v>0.044</v>
      </c>
      <c r="U31" s="134" t="s">
        <v>194</v>
      </c>
      <c r="V31" s="131">
        <f>V33</f>
        <v>0</v>
      </c>
      <c r="W31" s="134" t="s">
        <v>194</v>
      </c>
      <c r="X31" s="131">
        <f>X33+X32</f>
        <v>0</v>
      </c>
      <c r="Y31" s="134" t="s">
        <v>194</v>
      </c>
      <c r="Z31" s="131">
        <f>Z33</f>
        <v>5.4</v>
      </c>
      <c r="AA31" s="134" t="s">
        <v>194</v>
      </c>
      <c r="AB31" s="131">
        <f>AB33</f>
        <v>0</v>
      </c>
      <c r="AC31" s="134" t="s">
        <v>194</v>
      </c>
      <c r="AD31" s="131">
        <f t="shared" si="3"/>
        <v>-5.4</v>
      </c>
      <c r="AE31" s="134" t="s">
        <v>194</v>
      </c>
      <c r="AF31" s="131">
        <f t="shared" si="1"/>
        <v>-5.356000000000001</v>
      </c>
      <c r="AG31" s="133" t="s">
        <v>194</v>
      </c>
      <c r="AH31" s="37">
        <f>AF31/J31</f>
        <v>-0.9918518518518519</v>
      </c>
      <c r="AI31" s="51"/>
    </row>
    <row r="32" spans="1:35" ht="33">
      <c r="A32" s="55" t="s">
        <v>57</v>
      </c>
      <c r="B32" s="46" t="s">
        <v>61</v>
      </c>
      <c r="C32" s="34"/>
      <c r="D32" s="132">
        <v>0</v>
      </c>
      <c r="E32" s="133" t="s">
        <v>194</v>
      </c>
      <c r="F32" s="133">
        <v>0</v>
      </c>
      <c r="G32" s="133" t="s">
        <v>194</v>
      </c>
      <c r="H32" s="133">
        <v>0</v>
      </c>
      <c r="I32" s="133" t="s">
        <v>194</v>
      </c>
      <c r="J32" s="132">
        <v>0</v>
      </c>
      <c r="K32" s="133" t="s">
        <v>194</v>
      </c>
      <c r="L32" s="133">
        <f>P32+T32+X32+AB32</f>
        <v>0.044</v>
      </c>
      <c r="M32" s="133" t="s">
        <v>194</v>
      </c>
      <c r="N32" s="132">
        <v>0</v>
      </c>
      <c r="O32" s="133" t="s">
        <v>194</v>
      </c>
      <c r="P32" s="132">
        <v>0</v>
      </c>
      <c r="Q32" s="133" t="s">
        <v>194</v>
      </c>
      <c r="R32" s="132">
        <v>0</v>
      </c>
      <c r="S32" s="133" t="s">
        <v>194</v>
      </c>
      <c r="T32" s="133">
        <f>22000*2/1000000</f>
        <v>0.044</v>
      </c>
      <c r="U32" s="133" t="s">
        <v>194</v>
      </c>
      <c r="V32" s="132">
        <v>0</v>
      </c>
      <c r="W32" s="133" t="s">
        <v>194</v>
      </c>
      <c r="X32" s="132">
        <v>0</v>
      </c>
      <c r="Y32" s="133" t="s">
        <v>194</v>
      </c>
      <c r="Z32" s="132">
        <v>0</v>
      </c>
      <c r="AA32" s="133" t="s">
        <v>194</v>
      </c>
      <c r="AB32" s="132">
        <v>0</v>
      </c>
      <c r="AC32" s="133" t="s">
        <v>194</v>
      </c>
      <c r="AD32" s="132">
        <f t="shared" si="3"/>
        <v>0</v>
      </c>
      <c r="AE32" s="133" t="s">
        <v>194</v>
      </c>
      <c r="AF32" s="132">
        <f t="shared" si="1"/>
        <v>0.044</v>
      </c>
      <c r="AG32" s="133" t="s">
        <v>194</v>
      </c>
      <c r="AH32" s="59"/>
      <c r="AI32" s="51"/>
    </row>
    <row r="33" spans="1:35" ht="66">
      <c r="A33" s="55" t="s">
        <v>60</v>
      </c>
      <c r="B33" s="46" t="s">
        <v>58</v>
      </c>
      <c r="C33" s="34"/>
      <c r="D33" s="133">
        <f>J33</f>
        <v>5.4</v>
      </c>
      <c r="E33" s="133" t="s">
        <v>194</v>
      </c>
      <c r="F33" s="133">
        <v>0</v>
      </c>
      <c r="G33" s="133" t="s">
        <v>194</v>
      </c>
      <c r="H33" s="133">
        <v>0</v>
      </c>
      <c r="I33" s="133" t="s">
        <v>194</v>
      </c>
      <c r="J33" s="133">
        <f>N33+R33+V33+Z33</f>
        <v>5.4</v>
      </c>
      <c r="K33" s="133" t="s">
        <v>194</v>
      </c>
      <c r="L33" s="133">
        <f>P33+T33+X33+AB33</f>
        <v>0</v>
      </c>
      <c r="M33" s="133" t="s">
        <v>194</v>
      </c>
      <c r="N33" s="133">
        <v>0</v>
      </c>
      <c r="O33" s="133" t="s">
        <v>194</v>
      </c>
      <c r="P33" s="133">
        <v>0</v>
      </c>
      <c r="Q33" s="133" t="s">
        <v>194</v>
      </c>
      <c r="R33" s="133">
        <v>0</v>
      </c>
      <c r="S33" s="133" t="s">
        <v>194</v>
      </c>
      <c r="T33" s="133">
        <v>0</v>
      </c>
      <c r="U33" s="133" t="s">
        <v>194</v>
      </c>
      <c r="V33" s="133">
        <v>0</v>
      </c>
      <c r="W33" s="133" t="s">
        <v>194</v>
      </c>
      <c r="X33" s="133">
        <v>0</v>
      </c>
      <c r="Y33" s="133" t="s">
        <v>194</v>
      </c>
      <c r="Z33" s="133">
        <f>6.372/1.18</f>
        <v>5.4</v>
      </c>
      <c r="AA33" s="133" t="s">
        <v>194</v>
      </c>
      <c r="AB33" s="133">
        <v>0</v>
      </c>
      <c r="AC33" s="133" t="s">
        <v>194</v>
      </c>
      <c r="AD33" s="132">
        <f t="shared" si="3"/>
        <v>-5.4</v>
      </c>
      <c r="AE33" s="133" t="s">
        <v>194</v>
      </c>
      <c r="AF33" s="132">
        <f t="shared" si="1"/>
        <v>-5.4</v>
      </c>
      <c r="AG33" s="133" t="s">
        <v>194</v>
      </c>
      <c r="AH33" s="59">
        <f aca="true" t="shared" si="4" ref="AH33:AH42">AF33/J33</f>
        <v>-1</v>
      </c>
      <c r="AI33" s="38" t="s">
        <v>59</v>
      </c>
    </row>
    <row r="34" spans="1:35" ht="18.75">
      <c r="A34" s="137" t="s">
        <v>196</v>
      </c>
      <c r="B34" s="33" t="s">
        <v>63</v>
      </c>
      <c r="C34" s="34"/>
      <c r="D34" s="134">
        <f>SUM(D35:D46)</f>
        <v>6.794854728000001</v>
      </c>
      <c r="E34" s="134"/>
      <c r="F34" s="134">
        <f>SUM(F35:F46)</f>
        <v>0</v>
      </c>
      <c r="G34" s="134"/>
      <c r="H34" s="134">
        <f>SUM(H35:H46)</f>
        <v>0</v>
      </c>
      <c r="I34" s="134"/>
      <c r="J34" s="134">
        <f>SUM(J35:J46)</f>
        <v>6.794854728000001</v>
      </c>
      <c r="K34" s="134"/>
      <c r="L34" s="134">
        <f>SUM(L35:L46)</f>
        <v>0.12569472</v>
      </c>
      <c r="M34" s="134" t="s">
        <v>194</v>
      </c>
      <c r="N34" s="134">
        <v>0</v>
      </c>
      <c r="O34" s="134" t="s">
        <v>194</v>
      </c>
      <c r="P34" s="134">
        <v>0</v>
      </c>
      <c r="Q34" s="134" t="s">
        <v>194</v>
      </c>
      <c r="R34" s="134">
        <f>SUM(R35:R46)</f>
        <v>0.239476752</v>
      </c>
      <c r="S34" s="134" t="s">
        <v>194</v>
      </c>
      <c r="T34" s="134">
        <v>0</v>
      </c>
      <c r="U34" s="134"/>
      <c r="V34" s="134">
        <f>SUM(V35:V46)</f>
        <v>2.115377976</v>
      </c>
      <c r="W34" s="134" t="s">
        <v>194</v>
      </c>
      <c r="X34" s="134">
        <f>SUM(X35:X46)</f>
        <v>0</v>
      </c>
      <c r="Y34" s="134" t="s">
        <v>194</v>
      </c>
      <c r="Z34" s="134">
        <f>SUM(Z35:Z46)</f>
        <v>4.44</v>
      </c>
      <c r="AA34" s="133" t="s">
        <v>194</v>
      </c>
      <c r="AB34" s="134">
        <f>SUM(AB35:AB46)</f>
        <v>0.12569472</v>
      </c>
      <c r="AC34" s="133" t="s">
        <v>194</v>
      </c>
      <c r="AD34" s="131">
        <f t="shared" si="3"/>
        <v>-4.31430528</v>
      </c>
      <c r="AE34" s="133" t="s">
        <v>194</v>
      </c>
      <c r="AF34" s="132">
        <f t="shared" si="1"/>
        <v>-6.669160008</v>
      </c>
      <c r="AG34" s="133" t="s">
        <v>194</v>
      </c>
      <c r="AH34" s="37">
        <f t="shared" si="4"/>
        <v>-0.981501485310342</v>
      </c>
      <c r="AI34" s="38"/>
    </row>
    <row r="35" spans="1:35" ht="66">
      <c r="A35" s="55" t="s">
        <v>197</v>
      </c>
      <c r="B35" s="114" t="s">
        <v>65</v>
      </c>
      <c r="C35" s="109"/>
      <c r="D35" s="133">
        <f aca="true" t="shared" si="5" ref="D35:D43">J35</f>
        <v>0.239476752</v>
      </c>
      <c r="E35" s="133" t="s">
        <v>194</v>
      </c>
      <c r="F35" s="64">
        <v>0</v>
      </c>
      <c r="G35" s="133" t="s">
        <v>194</v>
      </c>
      <c r="H35" s="64">
        <v>0</v>
      </c>
      <c r="I35" s="64" t="s">
        <v>194</v>
      </c>
      <c r="J35" s="133">
        <f>N35+R35+V35+Z35</f>
        <v>0.239476752</v>
      </c>
      <c r="K35" s="64" t="s">
        <v>194</v>
      </c>
      <c r="L35" s="133">
        <f aca="true" t="shared" si="6" ref="L35:L46">P35+T35+X35+AB35</f>
        <v>0</v>
      </c>
      <c r="M35" s="133" t="s">
        <v>194</v>
      </c>
      <c r="N35" s="133">
        <v>0</v>
      </c>
      <c r="O35" s="133" t="s">
        <v>194</v>
      </c>
      <c r="P35" s="133">
        <v>0</v>
      </c>
      <c r="Q35" s="64" t="s">
        <v>194</v>
      </c>
      <c r="R35" s="133">
        <f>0.28258256736/1.18</f>
        <v>0.239476752</v>
      </c>
      <c r="S35" s="133" t="s">
        <v>194</v>
      </c>
      <c r="T35" s="133">
        <v>0</v>
      </c>
      <c r="U35" s="64" t="s">
        <v>194</v>
      </c>
      <c r="V35" s="133">
        <v>0</v>
      </c>
      <c r="W35" s="133" t="s">
        <v>194</v>
      </c>
      <c r="X35" s="133">
        <v>0</v>
      </c>
      <c r="Y35" s="133" t="s">
        <v>194</v>
      </c>
      <c r="Z35" s="133">
        <v>0</v>
      </c>
      <c r="AA35" s="133" t="s">
        <v>194</v>
      </c>
      <c r="AB35" s="133">
        <v>0</v>
      </c>
      <c r="AC35" s="133" t="s">
        <v>194</v>
      </c>
      <c r="AD35" s="132">
        <f t="shared" si="3"/>
        <v>0</v>
      </c>
      <c r="AE35" s="64" t="s">
        <v>194</v>
      </c>
      <c r="AF35" s="132">
        <f t="shared" si="1"/>
        <v>-0.239476752</v>
      </c>
      <c r="AG35" s="133" t="s">
        <v>194</v>
      </c>
      <c r="AH35" s="59">
        <f t="shared" si="4"/>
        <v>-1</v>
      </c>
      <c r="AI35" s="38" t="s">
        <v>59</v>
      </c>
    </row>
    <row r="36" spans="1:35" ht="66">
      <c r="A36" s="55" t="s">
        <v>198</v>
      </c>
      <c r="B36" s="114" t="s">
        <v>68</v>
      </c>
      <c r="C36" s="109"/>
      <c r="D36" s="133">
        <f t="shared" si="5"/>
        <v>0.39912792</v>
      </c>
      <c r="E36" s="133" t="s">
        <v>194</v>
      </c>
      <c r="F36" s="64">
        <v>0</v>
      </c>
      <c r="G36" s="133" t="s">
        <v>194</v>
      </c>
      <c r="H36" s="64">
        <v>0</v>
      </c>
      <c r="I36" s="64" t="s">
        <v>194</v>
      </c>
      <c r="J36" s="133">
        <f>N36+R36+V36+Z36</f>
        <v>0.39912792</v>
      </c>
      <c r="K36" s="64" t="s">
        <v>194</v>
      </c>
      <c r="L36" s="133">
        <f t="shared" si="6"/>
        <v>0</v>
      </c>
      <c r="M36" s="133" t="s">
        <v>194</v>
      </c>
      <c r="N36" s="133">
        <v>0</v>
      </c>
      <c r="O36" s="133" t="s">
        <v>194</v>
      </c>
      <c r="P36" s="133">
        <v>0</v>
      </c>
      <c r="Q36" s="64" t="s">
        <v>194</v>
      </c>
      <c r="R36" s="133">
        <v>0</v>
      </c>
      <c r="S36" s="133" t="s">
        <v>194</v>
      </c>
      <c r="T36" s="133">
        <v>0</v>
      </c>
      <c r="U36" s="64" t="s">
        <v>194</v>
      </c>
      <c r="V36" s="133">
        <f>0.4709709456/1.18</f>
        <v>0.39912792</v>
      </c>
      <c r="W36" s="133" t="s">
        <v>194</v>
      </c>
      <c r="X36" s="133">
        <v>0</v>
      </c>
      <c r="Y36" s="133" t="s">
        <v>194</v>
      </c>
      <c r="Z36" s="133">
        <v>0</v>
      </c>
      <c r="AA36" s="133" t="s">
        <v>194</v>
      </c>
      <c r="AB36" s="133">
        <v>0</v>
      </c>
      <c r="AC36" s="133" t="s">
        <v>194</v>
      </c>
      <c r="AD36" s="132">
        <f t="shared" si="3"/>
        <v>0</v>
      </c>
      <c r="AE36" s="64" t="s">
        <v>194</v>
      </c>
      <c r="AF36" s="132">
        <f t="shared" si="1"/>
        <v>-0.39912792</v>
      </c>
      <c r="AG36" s="133" t="s">
        <v>194</v>
      </c>
      <c r="AH36" s="59">
        <f t="shared" si="4"/>
        <v>-1</v>
      </c>
      <c r="AI36" s="38" t="s">
        <v>59</v>
      </c>
    </row>
    <row r="37" spans="1:35" ht="66">
      <c r="A37" s="55" t="s">
        <v>199</v>
      </c>
      <c r="B37" s="114" t="s">
        <v>70</v>
      </c>
      <c r="C37" s="109"/>
      <c r="D37" s="133">
        <f t="shared" si="5"/>
        <v>0.1756162848</v>
      </c>
      <c r="E37" s="133" t="s">
        <v>194</v>
      </c>
      <c r="F37" s="64">
        <v>0</v>
      </c>
      <c r="G37" s="133" t="s">
        <v>194</v>
      </c>
      <c r="H37" s="64">
        <v>0</v>
      </c>
      <c r="I37" s="64" t="s">
        <v>194</v>
      </c>
      <c r="J37" s="138">
        <f>0.207227216064/1.18</f>
        <v>0.1756162848</v>
      </c>
      <c r="K37" s="64" t="s">
        <v>194</v>
      </c>
      <c r="L37" s="133">
        <f t="shared" si="6"/>
        <v>0</v>
      </c>
      <c r="M37" s="133" t="s">
        <v>194</v>
      </c>
      <c r="N37" s="133">
        <v>0</v>
      </c>
      <c r="O37" s="133" t="s">
        <v>194</v>
      </c>
      <c r="P37" s="133">
        <v>0</v>
      </c>
      <c r="Q37" s="64" t="s">
        <v>194</v>
      </c>
      <c r="R37" s="133">
        <v>0</v>
      </c>
      <c r="S37" s="133" t="s">
        <v>194</v>
      </c>
      <c r="T37" s="133">
        <v>0</v>
      </c>
      <c r="U37" s="64" t="s">
        <v>194</v>
      </c>
      <c r="V37" s="133">
        <f>'10  финансирование'!Q38/1.18</f>
        <v>0.1756162848</v>
      </c>
      <c r="W37" s="133" t="s">
        <v>194</v>
      </c>
      <c r="X37" s="133">
        <v>0</v>
      </c>
      <c r="Y37" s="133" t="s">
        <v>194</v>
      </c>
      <c r="Z37" s="133">
        <v>0</v>
      </c>
      <c r="AA37" s="133" t="s">
        <v>194</v>
      </c>
      <c r="AB37" s="133">
        <v>0</v>
      </c>
      <c r="AC37" s="133" t="s">
        <v>194</v>
      </c>
      <c r="AD37" s="132">
        <f t="shared" si="3"/>
        <v>0</v>
      </c>
      <c r="AE37" s="64" t="s">
        <v>194</v>
      </c>
      <c r="AF37" s="132">
        <f t="shared" si="1"/>
        <v>-0.1756162848</v>
      </c>
      <c r="AG37" s="133" t="s">
        <v>194</v>
      </c>
      <c r="AH37" s="59">
        <f t="shared" si="4"/>
        <v>-1</v>
      </c>
      <c r="AI37" s="38" t="s">
        <v>59</v>
      </c>
    </row>
    <row r="38" spans="1:35" ht="66">
      <c r="A38" s="55" t="s">
        <v>200</v>
      </c>
      <c r="B38" s="114" t="s">
        <v>72</v>
      </c>
      <c r="C38" s="109"/>
      <c r="D38" s="133">
        <f t="shared" si="5"/>
        <v>0.1277209344</v>
      </c>
      <c r="E38" s="133" t="s">
        <v>194</v>
      </c>
      <c r="F38" s="64">
        <v>0</v>
      </c>
      <c r="G38" s="133" t="s">
        <v>194</v>
      </c>
      <c r="H38" s="64">
        <v>0</v>
      </c>
      <c r="I38" s="64" t="s">
        <v>194</v>
      </c>
      <c r="J38" s="138">
        <f>0.150710702592/1.18</f>
        <v>0.1277209344</v>
      </c>
      <c r="K38" s="64" t="s">
        <v>194</v>
      </c>
      <c r="L38" s="133">
        <f t="shared" si="6"/>
        <v>0</v>
      </c>
      <c r="M38" s="133" t="s">
        <v>194</v>
      </c>
      <c r="N38" s="133">
        <v>0</v>
      </c>
      <c r="O38" s="133" t="s">
        <v>194</v>
      </c>
      <c r="P38" s="133">
        <v>0</v>
      </c>
      <c r="Q38" s="64" t="s">
        <v>194</v>
      </c>
      <c r="R38" s="133">
        <v>0</v>
      </c>
      <c r="S38" s="133" t="s">
        <v>194</v>
      </c>
      <c r="T38" s="133">
        <v>0</v>
      </c>
      <c r="U38" s="64" t="s">
        <v>194</v>
      </c>
      <c r="V38" s="133">
        <f>'10  финансирование'!Q39/1.18</f>
        <v>0.1277209344</v>
      </c>
      <c r="W38" s="133" t="s">
        <v>194</v>
      </c>
      <c r="X38" s="133">
        <v>0</v>
      </c>
      <c r="Y38" s="133" t="s">
        <v>194</v>
      </c>
      <c r="Z38" s="133">
        <v>0</v>
      </c>
      <c r="AA38" s="133" t="s">
        <v>194</v>
      </c>
      <c r="AB38" s="133">
        <v>0</v>
      </c>
      <c r="AC38" s="133" t="s">
        <v>194</v>
      </c>
      <c r="AD38" s="132">
        <f t="shared" si="3"/>
        <v>0</v>
      </c>
      <c r="AE38" s="64" t="s">
        <v>194</v>
      </c>
      <c r="AF38" s="132">
        <f t="shared" si="1"/>
        <v>-0.1277209344</v>
      </c>
      <c r="AG38" s="133" t="s">
        <v>194</v>
      </c>
      <c r="AH38" s="59">
        <f t="shared" si="4"/>
        <v>-1</v>
      </c>
      <c r="AI38" s="38" t="s">
        <v>59</v>
      </c>
    </row>
    <row r="39" spans="1:35" ht="66">
      <c r="A39" s="55" t="s">
        <v>201</v>
      </c>
      <c r="B39" s="114" t="s">
        <v>74</v>
      </c>
      <c r="C39" s="109"/>
      <c r="D39" s="133">
        <f t="shared" si="5"/>
        <v>0.079825584</v>
      </c>
      <c r="E39" s="133" t="s">
        <v>194</v>
      </c>
      <c r="F39" s="64">
        <v>0</v>
      </c>
      <c r="G39" s="133" t="s">
        <v>194</v>
      </c>
      <c r="H39" s="64">
        <v>0</v>
      </c>
      <c r="I39" s="64" t="s">
        <v>194</v>
      </c>
      <c r="J39" s="138">
        <f>0.09419418912/1.18</f>
        <v>0.079825584</v>
      </c>
      <c r="K39" s="64" t="s">
        <v>194</v>
      </c>
      <c r="L39" s="133">
        <f t="shared" si="6"/>
        <v>0</v>
      </c>
      <c r="M39" s="133" t="s">
        <v>194</v>
      </c>
      <c r="N39" s="133">
        <v>0</v>
      </c>
      <c r="O39" s="133" t="s">
        <v>194</v>
      </c>
      <c r="P39" s="133">
        <v>0</v>
      </c>
      <c r="Q39" s="64" t="s">
        <v>194</v>
      </c>
      <c r="R39" s="133">
        <v>0</v>
      </c>
      <c r="S39" s="133" t="s">
        <v>194</v>
      </c>
      <c r="T39" s="133">
        <v>0</v>
      </c>
      <c r="U39" s="64" t="s">
        <v>194</v>
      </c>
      <c r="V39" s="133">
        <f>'10  финансирование'!Q40/1.18</f>
        <v>0.079825584</v>
      </c>
      <c r="W39" s="133" t="s">
        <v>194</v>
      </c>
      <c r="X39" s="133">
        <v>0</v>
      </c>
      <c r="Y39" s="133" t="s">
        <v>194</v>
      </c>
      <c r="Z39" s="133">
        <v>0</v>
      </c>
      <c r="AA39" s="133" t="s">
        <v>194</v>
      </c>
      <c r="AB39" s="133">
        <v>0</v>
      </c>
      <c r="AC39" s="133" t="s">
        <v>194</v>
      </c>
      <c r="AD39" s="132">
        <f t="shared" si="3"/>
        <v>0</v>
      </c>
      <c r="AE39" s="64" t="s">
        <v>194</v>
      </c>
      <c r="AF39" s="132">
        <f t="shared" si="1"/>
        <v>-0.079825584</v>
      </c>
      <c r="AG39" s="133" t="s">
        <v>194</v>
      </c>
      <c r="AH39" s="59">
        <f t="shared" si="4"/>
        <v>-1</v>
      </c>
      <c r="AI39" s="38" t="s">
        <v>59</v>
      </c>
    </row>
    <row r="40" spans="1:35" ht="66">
      <c r="A40" s="55" t="s">
        <v>202</v>
      </c>
      <c r="B40" s="114" t="s">
        <v>76</v>
      </c>
      <c r="C40" s="109"/>
      <c r="D40" s="133">
        <f t="shared" si="5"/>
        <v>0.3911453616</v>
      </c>
      <c r="E40" s="133" t="s">
        <v>194</v>
      </c>
      <c r="F40" s="64">
        <v>0</v>
      </c>
      <c r="G40" s="133" t="s">
        <v>194</v>
      </c>
      <c r="H40" s="64">
        <v>0</v>
      </c>
      <c r="I40" s="64" t="s">
        <v>194</v>
      </c>
      <c r="J40" s="138">
        <f>0.461551526688/1.18</f>
        <v>0.3911453616</v>
      </c>
      <c r="K40" s="64" t="s">
        <v>194</v>
      </c>
      <c r="L40" s="133">
        <f t="shared" si="6"/>
        <v>0</v>
      </c>
      <c r="M40" s="133" t="s">
        <v>194</v>
      </c>
      <c r="N40" s="133">
        <v>0</v>
      </c>
      <c r="O40" s="133" t="s">
        <v>194</v>
      </c>
      <c r="P40" s="133">
        <v>0</v>
      </c>
      <c r="Q40" s="64" t="s">
        <v>194</v>
      </c>
      <c r="R40" s="133">
        <v>0</v>
      </c>
      <c r="S40" s="133" t="s">
        <v>194</v>
      </c>
      <c r="T40" s="133">
        <v>0</v>
      </c>
      <c r="U40" s="64" t="s">
        <v>194</v>
      </c>
      <c r="V40" s="133">
        <f>'10  финансирование'!Q41/1.18</f>
        <v>0.3911453616</v>
      </c>
      <c r="W40" s="133" t="s">
        <v>194</v>
      </c>
      <c r="X40" s="133">
        <v>0</v>
      </c>
      <c r="Y40" s="133" t="s">
        <v>194</v>
      </c>
      <c r="Z40" s="133">
        <v>0</v>
      </c>
      <c r="AA40" s="133" t="s">
        <v>194</v>
      </c>
      <c r="AB40" s="133">
        <v>0</v>
      </c>
      <c r="AC40" s="133" t="s">
        <v>194</v>
      </c>
      <c r="AD40" s="132">
        <f t="shared" si="3"/>
        <v>0</v>
      </c>
      <c r="AE40" s="64" t="s">
        <v>194</v>
      </c>
      <c r="AF40" s="132">
        <f t="shared" si="1"/>
        <v>-0.3911453616</v>
      </c>
      <c r="AG40" s="133" t="s">
        <v>194</v>
      </c>
      <c r="AH40" s="59">
        <f t="shared" si="4"/>
        <v>-1</v>
      </c>
      <c r="AI40" s="38" t="s">
        <v>59</v>
      </c>
    </row>
    <row r="41" spans="1:35" ht="66">
      <c r="A41" s="55" t="s">
        <v>203</v>
      </c>
      <c r="B41" s="114" t="s">
        <v>78</v>
      </c>
      <c r="C41" s="109"/>
      <c r="D41" s="133">
        <f t="shared" si="5"/>
        <v>0.239476752</v>
      </c>
      <c r="E41" s="133" t="s">
        <v>194</v>
      </c>
      <c r="F41" s="64">
        <v>0</v>
      </c>
      <c r="G41" s="133" t="s">
        <v>194</v>
      </c>
      <c r="H41" s="64">
        <v>0</v>
      </c>
      <c r="I41" s="64" t="s">
        <v>194</v>
      </c>
      <c r="J41" s="138">
        <f>0.28258256736/1.18</f>
        <v>0.239476752</v>
      </c>
      <c r="K41" s="64" t="s">
        <v>194</v>
      </c>
      <c r="L41" s="133">
        <f t="shared" si="6"/>
        <v>0</v>
      </c>
      <c r="M41" s="133" t="s">
        <v>194</v>
      </c>
      <c r="N41" s="133">
        <v>0</v>
      </c>
      <c r="O41" s="133" t="s">
        <v>194</v>
      </c>
      <c r="P41" s="133">
        <v>0</v>
      </c>
      <c r="Q41" s="64" t="s">
        <v>194</v>
      </c>
      <c r="R41" s="133">
        <v>0</v>
      </c>
      <c r="S41" s="133" t="s">
        <v>194</v>
      </c>
      <c r="T41" s="133">
        <v>0</v>
      </c>
      <c r="U41" s="64" t="s">
        <v>194</v>
      </c>
      <c r="V41" s="133">
        <f>'10  финансирование'!Q42/1.18</f>
        <v>0.239476752</v>
      </c>
      <c r="W41" s="133" t="s">
        <v>194</v>
      </c>
      <c r="X41" s="133">
        <v>0</v>
      </c>
      <c r="Y41" s="133" t="s">
        <v>194</v>
      </c>
      <c r="Z41" s="133">
        <v>0</v>
      </c>
      <c r="AA41" s="133" t="s">
        <v>194</v>
      </c>
      <c r="AB41" s="133">
        <v>0</v>
      </c>
      <c r="AC41" s="133" t="s">
        <v>194</v>
      </c>
      <c r="AD41" s="132">
        <f t="shared" si="3"/>
        <v>0</v>
      </c>
      <c r="AE41" s="64" t="s">
        <v>194</v>
      </c>
      <c r="AF41" s="132">
        <f t="shared" si="1"/>
        <v>-0.239476752</v>
      </c>
      <c r="AG41" s="133" t="s">
        <v>194</v>
      </c>
      <c r="AH41" s="59">
        <f t="shared" si="4"/>
        <v>-1</v>
      </c>
      <c r="AI41" s="38" t="s">
        <v>59</v>
      </c>
    </row>
    <row r="42" spans="1:35" ht="66">
      <c r="A42" s="55" t="s">
        <v>204</v>
      </c>
      <c r="B42" s="114" t="s">
        <v>80</v>
      </c>
      <c r="C42" s="109"/>
      <c r="D42" s="133">
        <f t="shared" si="5"/>
        <v>0.14368605120000003</v>
      </c>
      <c r="E42" s="133" t="s">
        <v>194</v>
      </c>
      <c r="F42" s="64">
        <v>0</v>
      </c>
      <c r="G42" s="133" t="s">
        <v>194</v>
      </c>
      <c r="H42" s="64">
        <v>0</v>
      </c>
      <c r="I42" s="64" t="s">
        <v>194</v>
      </c>
      <c r="J42" s="138">
        <f>0.169549540416/1.18</f>
        <v>0.14368605120000003</v>
      </c>
      <c r="K42" s="64" t="s">
        <v>194</v>
      </c>
      <c r="L42" s="133">
        <f t="shared" si="6"/>
        <v>0</v>
      </c>
      <c r="M42" s="133" t="s">
        <v>194</v>
      </c>
      <c r="N42" s="133">
        <v>0</v>
      </c>
      <c r="O42" s="133" t="s">
        <v>194</v>
      </c>
      <c r="P42" s="133">
        <v>0</v>
      </c>
      <c r="Q42" s="64" t="s">
        <v>194</v>
      </c>
      <c r="R42" s="133">
        <v>0</v>
      </c>
      <c r="S42" s="133" t="s">
        <v>194</v>
      </c>
      <c r="T42" s="133">
        <v>0</v>
      </c>
      <c r="U42" s="64" t="s">
        <v>194</v>
      </c>
      <c r="V42" s="133">
        <f>'10  финансирование'!Q43/1.18</f>
        <v>0.1436860512</v>
      </c>
      <c r="W42" s="133" t="s">
        <v>194</v>
      </c>
      <c r="X42" s="133">
        <v>0</v>
      </c>
      <c r="Y42" s="133" t="s">
        <v>194</v>
      </c>
      <c r="Z42" s="133">
        <v>0</v>
      </c>
      <c r="AA42" s="133" t="s">
        <v>194</v>
      </c>
      <c r="AB42" s="133">
        <v>0</v>
      </c>
      <c r="AC42" s="133" t="s">
        <v>194</v>
      </c>
      <c r="AD42" s="132">
        <f t="shared" si="3"/>
        <v>0</v>
      </c>
      <c r="AE42" s="64" t="s">
        <v>194</v>
      </c>
      <c r="AF42" s="132">
        <f t="shared" si="1"/>
        <v>-0.14368605120000003</v>
      </c>
      <c r="AG42" s="133" t="s">
        <v>194</v>
      </c>
      <c r="AH42" s="59">
        <f t="shared" si="4"/>
        <v>-1</v>
      </c>
      <c r="AI42" s="38" t="s">
        <v>59</v>
      </c>
    </row>
    <row r="43" spans="1:35" ht="18.75">
      <c r="A43" s="55" t="s">
        <v>205</v>
      </c>
      <c r="B43" s="114" t="s">
        <v>82</v>
      </c>
      <c r="C43" s="109"/>
      <c r="D43" s="133">
        <f t="shared" si="5"/>
        <v>0.558779088</v>
      </c>
      <c r="E43" s="133" t="s">
        <v>194</v>
      </c>
      <c r="F43" s="64">
        <v>0</v>
      </c>
      <c r="G43" s="133" t="s">
        <v>194</v>
      </c>
      <c r="H43" s="64">
        <v>0</v>
      </c>
      <c r="I43" s="64" t="s">
        <v>194</v>
      </c>
      <c r="J43" s="138">
        <f>0.65935932384/1.18</f>
        <v>0.558779088</v>
      </c>
      <c r="K43" s="64" t="s">
        <v>194</v>
      </c>
      <c r="L43" s="133">
        <f t="shared" si="6"/>
        <v>0</v>
      </c>
      <c r="M43" s="133" t="s">
        <v>194</v>
      </c>
      <c r="N43" s="133">
        <v>0</v>
      </c>
      <c r="O43" s="133" t="s">
        <v>194</v>
      </c>
      <c r="P43" s="133">
        <v>0</v>
      </c>
      <c r="Q43" s="64" t="s">
        <v>194</v>
      </c>
      <c r="R43" s="133">
        <v>0</v>
      </c>
      <c r="S43" s="133" t="s">
        <v>194</v>
      </c>
      <c r="T43" s="133">
        <v>0</v>
      </c>
      <c r="U43" s="64" t="s">
        <v>194</v>
      </c>
      <c r="V43" s="133">
        <f>'10  финансирование'!Q44/1.18</f>
        <v>0.558779088</v>
      </c>
      <c r="W43" s="133" t="s">
        <v>194</v>
      </c>
      <c r="X43" s="133">
        <v>0</v>
      </c>
      <c r="Y43" s="133" t="s">
        <v>194</v>
      </c>
      <c r="Z43" s="133">
        <v>0</v>
      </c>
      <c r="AA43" s="133" t="s">
        <v>194</v>
      </c>
      <c r="AB43" s="133">
        <v>0</v>
      </c>
      <c r="AC43" s="133" t="s">
        <v>194</v>
      </c>
      <c r="AD43" s="132">
        <f t="shared" si="3"/>
        <v>0</v>
      </c>
      <c r="AE43" s="64" t="s">
        <v>194</v>
      </c>
      <c r="AF43" s="132">
        <f t="shared" si="1"/>
        <v>-0.558779088</v>
      </c>
      <c r="AG43" s="133" t="s">
        <v>194</v>
      </c>
      <c r="AH43" s="59"/>
      <c r="AI43" s="38"/>
    </row>
    <row r="44" spans="1:35" ht="41.25" customHeight="1">
      <c r="A44" s="55" t="s">
        <v>206</v>
      </c>
      <c r="B44" s="46" t="s">
        <v>84</v>
      </c>
      <c r="C44" s="109"/>
      <c r="D44" s="133">
        <v>0</v>
      </c>
      <c r="E44" s="133" t="s">
        <v>194</v>
      </c>
      <c r="F44" s="64">
        <v>0</v>
      </c>
      <c r="G44" s="133" t="s">
        <v>194</v>
      </c>
      <c r="H44" s="64">
        <v>0</v>
      </c>
      <c r="I44" s="64" t="s">
        <v>194</v>
      </c>
      <c r="J44" s="133">
        <f>N44+R44+V44+Z44</f>
        <v>0</v>
      </c>
      <c r="K44" s="64" t="s">
        <v>194</v>
      </c>
      <c r="L44" s="133">
        <f t="shared" si="6"/>
        <v>0.12569472</v>
      </c>
      <c r="M44" s="133" t="s">
        <v>194</v>
      </c>
      <c r="N44" s="133">
        <v>0</v>
      </c>
      <c r="O44" s="133" t="s">
        <v>194</v>
      </c>
      <c r="P44" s="133">
        <v>0</v>
      </c>
      <c r="Q44" s="64" t="s">
        <v>194</v>
      </c>
      <c r="R44" s="133">
        <v>0</v>
      </c>
      <c r="S44" s="133" t="s">
        <v>194</v>
      </c>
      <c r="T44" s="133">
        <v>0</v>
      </c>
      <c r="U44" s="64" t="s">
        <v>194</v>
      </c>
      <c r="V44" s="133">
        <v>0</v>
      </c>
      <c r="W44" s="133" t="s">
        <v>194</v>
      </c>
      <c r="X44" s="133">
        <v>0</v>
      </c>
      <c r="Y44" s="133" t="s">
        <v>194</v>
      </c>
      <c r="Z44" s="133">
        <v>0</v>
      </c>
      <c r="AA44" s="133" t="s">
        <v>194</v>
      </c>
      <c r="AB44" s="133">
        <f>'10  финансирование'!T45/1.18</f>
        <v>0.12569472</v>
      </c>
      <c r="AC44" s="133" t="s">
        <v>194</v>
      </c>
      <c r="AD44" s="132">
        <f t="shared" si="3"/>
        <v>0.12569472</v>
      </c>
      <c r="AE44" s="64" t="s">
        <v>194</v>
      </c>
      <c r="AF44" s="132">
        <f t="shared" si="1"/>
        <v>0.12569472</v>
      </c>
      <c r="AG44" s="133" t="s">
        <v>194</v>
      </c>
      <c r="AH44" s="59"/>
      <c r="AI44" s="38"/>
    </row>
    <row r="45" spans="1:35" ht="66">
      <c r="A45" s="55" t="s">
        <v>207</v>
      </c>
      <c r="B45" s="114" t="s">
        <v>86</v>
      </c>
      <c r="C45" s="109"/>
      <c r="D45" s="133">
        <f>J45</f>
        <v>0.8</v>
      </c>
      <c r="E45" s="133" t="s">
        <v>194</v>
      </c>
      <c r="F45" s="64">
        <v>0</v>
      </c>
      <c r="G45" s="133" t="s">
        <v>194</v>
      </c>
      <c r="H45" s="64">
        <v>0</v>
      </c>
      <c r="I45" s="64" t="s">
        <v>194</v>
      </c>
      <c r="J45" s="133">
        <f>N45+R45+V45+Z45</f>
        <v>0.8</v>
      </c>
      <c r="K45" s="64" t="s">
        <v>194</v>
      </c>
      <c r="L45" s="133">
        <f t="shared" si="6"/>
        <v>0</v>
      </c>
      <c r="M45" s="133" t="s">
        <v>194</v>
      </c>
      <c r="N45" s="133">
        <v>0</v>
      </c>
      <c r="O45" s="133" t="s">
        <v>194</v>
      </c>
      <c r="P45" s="133">
        <v>0</v>
      </c>
      <c r="Q45" s="64" t="s">
        <v>194</v>
      </c>
      <c r="R45" s="133">
        <v>0</v>
      </c>
      <c r="S45" s="133" t="s">
        <v>194</v>
      </c>
      <c r="T45" s="133">
        <v>0</v>
      </c>
      <c r="U45" s="64" t="s">
        <v>194</v>
      </c>
      <c r="V45" s="133">
        <v>0</v>
      </c>
      <c r="W45" s="133" t="s">
        <v>194</v>
      </c>
      <c r="X45" s="133">
        <v>0</v>
      </c>
      <c r="Y45" s="64" t="s">
        <v>194</v>
      </c>
      <c r="Z45" s="133">
        <f>0.944/1.18</f>
        <v>0.8</v>
      </c>
      <c r="AA45" s="133" t="s">
        <v>194</v>
      </c>
      <c r="AB45" s="133">
        <v>0</v>
      </c>
      <c r="AC45" s="133" t="s">
        <v>194</v>
      </c>
      <c r="AD45" s="132">
        <f t="shared" si="3"/>
        <v>-0.8</v>
      </c>
      <c r="AE45" s="64" t="s">
        <v>194</v>
      </c>
      <c r="AF45" s="132">
        <f t="shared" si="1"/>
        <v>-0.8</v>
      </c>
      <c r="AG45" s="133" t="s">
        <v>194</v>
      </c>
      <c r="AH45" s="59">
        <f>AF45/J45</f>
        <v>-1</v>
      </c>
      <c r="AI45" s="38" t="s">
        <v>59</v>
      </c>
    </row>
    <row r="46" spans="1:35" ht="66">
      <c r="A46" s="55" t="s">
        <v>208</v>
      </c>
      <c r="B46" s="114" t="s">
        <v>88</v>
      </c>
      <c r="C46" s="109"/>
      <c r="D46" s="133">
        <f>J46</f>
        <v>3.6400000000000006</v>
      </c>
      <c r="E46" s="133" t="s">
        <v>194</v>
      </c>
      <c r="F46" s="64">
        <v>0</v>
      </c>
      <c r="G46" s="133" t="s">
        <v>194</v>
      </c>
      <c r="H46" s="64">
        <v>0</v>
      </c>
      <c r="I46" s="64" t="s">
        <v>194</v>
      </c>
      <c r="J46" s="133">
        <f>N46+R46+V46+Z46</f>
        <v>3.6400000000000006</v>
      </c>
      <c r="K46" s="64" t="s">
        <v>194</v>
      </c>
      <c r="L46" s="133">
        <f t="shared" si="6"/>
        <v>0</v>
      </c>
      <c r="M46" s="133" t="s">
        <v>194</v>
      </c>
      <c r="N46" s="133">
        <v>0</v>
      </c>
      <c r="O46" s="133" t="s">
        <v>194</v>
      </c>
      <c r="P46" s="133">
        <v>0</v>
      </c>
      <c r="Q46" s="64" t="s">
        <v>194</v>
      </c>
      <c r="R46" s="133">
        <v>0</v>
      </c>
      <c r="S46" s="133" t="s">
        <v>194</v>
      </c>
      <c r="T46" s="133">
        <v>0</v>
      </c>
      <c r="U46" s="64" t="s">
        <v>194</v>
      </c>
      <c r="V46" s="133">
        <v>0</v>
      </c>
      <c r="W46" s="133" t="s">
        <v>194</v>
      </c>
      <c r="X46" s="133">
        <v>0</v>
      </c>
      <c r="Y46" s="64" t="s">
        <v>194</v>
      </c>
      <c r="Z46" s="133">
        <f>4.2952/1.18</f>
        <v>3.6400000000000006</v>
      </c>
      <c r="AA46" s="133" t="s">
        <v>194</v>
      </c>
      <c r="AB46" s="133">
        <v>0</v>
      </c>
      <c r="AC46" s="133" t="s">
        <v>194</v>
      </c>
      <c r="AD46" s="132">
        <f t="shared" si="3"/>
        <v>-3.6400000000000006</v>
      </c>
      <c r="AE46" s="64" t="s">
        <v>194</v>
      </c>
      <c r="AF46" s="132">
        <f t="shared" si="1"/>
        <v>-3.6400000000000006</v>
      </c>
      <c r="AG46" s="133" t="s">
        <v>194</v>
      </c>
      <c r="AH46" s="59">
        <f>AF46/J46</f>
        <v>-1</v>
      </c>
      <c r="AI46" s="38" t="s">
        <v>59</v>
      </c>
    </row>
    <row r="47" spans="1:35" ht="49.5">
      <c r="A47" s="49" t="s">
        <v>165</v>
      </c>
      <c r="B47" s="33" t="s">
        <v>90</v>
      </c>
      <c r="C47" s="34"/>
      <c r="D47" s="134">
        <f>SUM(D48:D52)</f>
        <v>0</v>
      </c>
      <c r="E47" s="134" t="s">
        <v>194</v>
      </c>
      <c r="F47" s="134">
        <f>SUM(F48:F50)</f>
        <v>0</v>
      </c>
      <c r="G47" s="133" t="s">
        <v>194</v>
      </c>
      <c r="H47" s="134">
        <f>SUM(H48:H50)</f>
        <v>0</v>
      </c>
      <c r="I47" s="64" t="s">
        <v>194</v>
      </c>
      <c r="J47" s="134">
        <f>SUM(J48:J52)</f>
        <v>0</v>
      </c>
      <c r="K47" s="64" t="s">
        <v>194</v>
      </c>
      <c r="L47" s="134">
        <f>SUM(L48:L52)</f>
        <v>1.6268457999999997</v>
      </c>
      <c r="M47" s="134" t="s">
        <v>194</v>
      </c>
      <c r="N47" s="134">
        <f>SUM(N48:N50)</f>
        <v>0</v>
      </c>
      <c r="O47" s="134" t="s">
        <v>194</v>
      </c>
      <c r="P47" s="134">
        <f>SUM(P48:P50)</f>
        <v>0.38084711000000004</v>
      </c>
      <c r="Q47" s="139" t="s">
        <v>194</v>
      </c>
      <c r="R47" s="134">
        <f>SUM(R48:R50)</f>
        <v>0</v>
      </c>
      <c r="S47" s="134" t="s">
        <v>194</v>
      </c>
      <c r="T47" s="134">
        <f>SUM(T48:T50)</f>
        <v>0.6727900699999999</v>
      </c>
      <c r="U47" s="139" t="s">
        <v>194</v>
      </c>
      <c r="V47" s="134">
        <f>SUM(V48:V50)</f>
        <v>0</v>
      </c>
      <c r="W47" s="134" t="s">
        <v>194</v>
      </c>
      <c r="X47" s="134">
        <f>SUM(X48:X50)</f>
        <v>0.28307948</v>
      </c>
      <c r="Y47" s="139" t="s">
        <v>194</v>
      </c>
      <c r="Z47" s="134">
        <f>SUM(Z48:Z50)</f>
        <v>0</v>
      </c>
      <c r="AA47" s="64" t="s">
        <v>194</v>
      </c>
      <c r="AB47" s="134">
        <f>SUM(AB48:AB52)</f>
        <v>0.29012914</v>
      </c>
      <c r="AC47" s="64" t="s">
        <v>194</v>
      </c>
      <c r="AD47" s="131">
        <f t="shared" si="3"/>
        <v>0.29012914</v>
      </c>
      <c r="AE47" s="134">
        <f>SUM(AE48:AE49)</f>
        <v>0</v>
      </c>
      <c r="AF47" s="131">
        <f t="shared" si="1"/>
        <v>1.6268457999999997</v>
      </c>
      <c r="AG47" s="133" t="s">
        <v>194</v>
      </c>
      <c r="AH47" s="59"/>
      <c r="AI47" s="38" t="s">
        <v>95</v>
      </c>
    </row>
    <row r="48" spans="1:35" ht="49.5">
      <c r="A48" s="45" t="s">
        <v>166</v>
      </c>
      <c r="B48" s="46" t="s">
        <v>91</v>
      </c>
      <c r="C48" s="70"/>
      <c r="D48" s="133">
        <f>J48</f>
        <v>0</v>
      </c>
      <c r="E48" s="133" t="s">
        <v>194</v>
      </c>
      <c r="F48" s="64">
        <v>0</v>
      </c>
      <c r="G48" s="133" t="s">
        <v>194</v>
      </c>
      <c r="H48" s="64">
        <v>0</v>
      </c>
      <c r="I48" s="64" t="s">
        <v>194</v>
      </c>
      <c r="J48" s="133">
        <f>N48+R48+V48+Z48</f>
        <v>0</v>
      </c>
      <c r="K48" s="64" t="s">
        <v>194</v>
      </c>
      <c r="L48" s="133">
        <f>P48+T48+X48+AB48</f>
        <v>0.34297458000000003</v>
      </c>
      <c r="M48" s="64" t="s">
        <v>194</v>
      </c>
      <c r="N48" s="133">
        <v>0</v>
      </c>
      <c r="O48" s="64" t="s">
        <v>194</v>
      </c>
      <c r="P48" s="133">
        <f>342.97458/1000</f>
        <v>0.34297458000000003</v>
      </c>
      <c r="Q48" s="64" t="s">
        <v>194</v>
      </c>
      <c r="R48" s="64">
        <v>0</v>
      </c>
      <c r="S48" s="64" t="s">
        <v>194</v>
      </c>
      <c r="T48" s="64">
        <v>0</v>
      </c>
      <c r="U48" s="64" t="s">
        <v>194</v>
      </c>
      <c r="V48" s="64">
        <v>0</v>
      </c>
      <c r="W48" s="64" t="s">
        <v>194</v>
      </c>
      <c r="X48" s="64">
        <v>0</v>
      </c>
      <c r="Y48" s="64" t="s">
        <v>194</v>
      </c>
      <c r="Z48" s="64">
        <v>0</v>
      </c>
      <c r="AA48" s="64" t="s">
        <v>194</v>
      </c>
      <c r="AB48" s="64">
        <v>0</v>
      </c>
      <c r="AC48" s="64" t="s">
        <v>194</v>
      </c>
      <c r="AD48" s="132">
        <f t="shared" si="3"/>
        <v>0</v>
      </c>
      <c r="AE48" s="64" t="s">
        <v>194</v>
      </c>
      <c r="AF48" s="132">
        <f t="shared" si="1"/>
        <v>0.34297458000000003</v>
      </c>
      <c r="AG48" s="133" t="s">
        <v>194</v>
      </c>
      <c r="AH48" s="59"/>
      <c r="AI48" s="38" t="s">
        <v>95</v>
      </c>
    </row>
    <row r="49" spans="1:35" ht="49.5">
      <c r="A49" s="45" t="s">
        <v>167</v>
      </c>
      <c r="B49" s="114" t="s">
        <v>92</v>
      </c>
      <c r="C49" s="109"/>
      <c r="D49" s="133">
        <f>J49</f>
        <v>0</v>
      </c>
      <c r="E49" s="133" t="s">
        <v>194</v>
      </c>
      <c r="F49" s="64">
        <v>0</v>
      </c>
      <c r="G49" s="133" t="s">
        <v>194</v>
      </c>
      <c r="H49" s="64">
        <v>0</v>
      </c>
      <c r="I49" s="64" t="s">
        <v>194</v>
      </c>
      <c r="J49" s="133">
        <f>N49+R49+V49+Z49</f>
        <v>0</v>
      </c>
      <c r="K49" s="64" t="s">
        <v>194</v>
      </c>
      <c r="L49" s="133">
        <f>P49+T49+X49+AB49</f>
        <v>0.6857900699999999</v>
      </c>
      <c r="M49" s="64" t="s">
        <v>194</v>
      </c>
      <c r="N49" s="133">
        <v>0</v>
      </c>
      <c r="O49" s="64" t="s">
        <v>194</v>
      </c>
      <c r="P49" s="133">
        <f>13/1000</f>
        <v>0.013</v>
      </c>
      <c r="Q49" s="64" t="s">
        <v>194</v>
      </c>
      <c r="R49" s="64">
        <v>0</v>
      </c>
      <c r="S49" s="64" t="s">
        <v>194</v>
      </c>
      <c r="T49" s="133">
        <v>0.6727900699999999</v>
      </c>
      <c r="U49" s="64" t="s">
        <v>194</v>
      </c>
      <c r="V49" s="64">
        <v>0</v>
      </c>
      <c r="W49" s="64" t="s">
        <v>194</v>
      </c>
      <c r="X49" s="133">
        <v>0</v>
      </c>
      <c r="Y49" s="64" t="s">
        <v>194</v>
      </c>
      <c r="Z49" s="133">
        <v>0</v>
      </c>
      <c r="AA49" s="64" t="s">
        <v>194</v>
      </c>
      <c r="AB49" s="64">
        <v>0</v>
      </c>
      <c r="AC49" s="64" t="s">
        <v>194</v>
      </c>
      <c r="AD49" s="132">
        <f t="shared" si="3"/>
        <v>0</v>
      </c>
      <c r="AE49" s="64" t="s">
        <v>194</v>
      </c>
      <c r="AF49" s="132">
        <f t="shared" si="1"/>
        <v>0.6857900699999999</v>
      </c>
      <c r="AG49" s="133" t="s">
        <v>194</v>
      </c>
      <c r="AH49" s="59"/>
      <c r="AI49" s="38" t="s">
        <v>95</v>
      </c>
    </row>
    <row r="50" spans="1:35" ht="49.5">
      <c r="A50" s="45" t="s">
        <v>168</v>
      </c>
      <c r="B50" s="140" t="s">
        <v>94</v>
      </c>
      <c r="C50" s="109"/>
      <c r="D50" s="133">
        <f>J50</f>
        <v>0</v>
      </c>
      <c r="E50" s="133" t="s">
        <v>194</v>
      </c>
      <c r="F50" s="64">
        <v>0</v>
      </c>
      <c r="G50" s="133" t="s">
        <v>194</v>
      </c>
      <c r="H50" s="64">
        <v>0</v>
      </c>
      <c r="I50" s="64" t="s">
        <v>194</v>
      </c>
      <c r="J50" s="133">
        <f>N50+R50+V50+Z50</f>
        <v>0</v>
      </c>
      <c r="K50" s="64" t="s">
        <v>194</v>
      </c>
      <c r="L50" s="133">
        <f>P50+T50+X50+AB50</f>
        <v>0.30795201</v>
      </c>
      <c r="M50" s="64" t="s">
        <v>194</v>
      </c>
      <c r="N50" s="133">
        <v>0</v>
      </c>
      <c r="O50" s="64" t="s">
        <v>194</v>
      </c>
      <c r="P50" s="133">
        <f>24.87253/1000</f>
        <v>0.02487253</v>
      </c>
      <c r="Q50" s="64" t="s">
        <v>194</v>
      </c>
      <c r="R50" s="64">
        <v>0</v>
      </c>
      <c r="S50" s="64" t="s">
        <v>194</v>
      </c>
      <c r="T50" s="133">
        <v>0</v>
      </c>
      <c r="U50" s="64" t="s">
        <v>194</v>
      </c>
      <c r="V50" s="64">
        <v>0</v>
      </c>
      <c r="W50" s="64" t="s">
        <v>194</v>
      </c>
      <c r="X50" s="47">
        <f>283.07948/1000</f>
        <v>0.28307948</v>
      </c>
      <c r="Y50" s="64" t="s">
        <v>194</v>
      </c>
      <c r="Z50" s="133">
        <v>0</v>
      </c>
      <c r="AA50" s="64" t="s">
        <v>194</v>
      </c>
      <c r="AB50" s="64">
        <v>0</v>
      </c>
      <c r="AC50" s="64" t="s">
        <v>194</v>
      </c>
      <c r="AD50" s="132">
        <f t="shared" si="3"/>
        <v>0</v>
      </c>
      <c r="AE50" s="64" t="s">
        <v>194</v>
      </c>
      <c r="AF50" s="132">
        <f t="shared" si="1"/>
        <v>0.30795201</v>
      </c>
      <c r="AG50" s="133" t="s">
        <v>194</v>
      </c>
      <c r="AH50" s="59"/>
      <c r="AI50" s="38" t="s">
        <v>95</v>
      </c>
    </row>
    <row r="51" spans="1:35" ht="49.5" customHeight="1">
      <c r="A51" s="45" t="s">
        <v>169</v>
      </c>
      <c r="B51" s="61" t="s">
        <v>97</v>
      </c>
      <c r="C51" s="109"/>
      <c r="D51" s="133">
        <f>J51</f>
        <v>0</v>
      </c>
      <c r="E51" s="133" t="s">
        <v>194</v>
      </c>
      <c r="F51" s="64">
        <v>0</v>
      </c>
      <c r="G51" s="133" t="s">
        <v>194</v>
      </c>
      <c r="H51" s="64">
        <v>0</v>
      </c>
      <c r="I51" s="64" t="s">
        <v>194</v>
      </c>
      <c r="J51" s="133">
        <f>N51+R51+V51+Z51</f>
        <v>0</v>
      </c>
      <c r="K51" s="64" t="s">
        <v>194</v>
      </c>
      <c r="L51" s="133">
        <f>P51+T51+X51+AB51</f>
        <v>0.025974329999999997</v>
      </c>
      <c r="M51" s="64" t="s">
        <v>194</v>
      </c>
      <c r="N51" s="133">
        <v>0</v>
      </c>
      <c r="O51" s="64" t="s">
        <v>194</v>
      </c>
      <c r="P51" s="133">
        <v>0</v>
      </c>
      <c r="Q51" s="64" t="s">
        <v>194</v>
      </c>
      <c r="R51" s="64">
        <v>0</v>
      </c>
      <c r="S51" s="64" t="s">
        <v>194</v>
      </c>
      <c r="T51" s="133">
        <v>0</v>
      </c>
      <c r="U51" s="64" t="s">
        <v>194</v>
      </c>
      <c r="V51" s="64">
        <v>0</v>
      </c>
      <c r="W51" s="64" t="s">
        <v>194</v>
      </c>
      <c r="X51" s="47">
        <v>0</v>
      </c>
      <c r="Y51" s="64" t="s">
        <v>194</v>
      </c>
      <c r="Z51" s="133">
        <v>0</v>
      </c>
      <c r="AA51" s="64" t="s">
        <v>194</v>
      </c>
      <c r="AB51" s="64">
        <f>'10  финансирование'!T52/1.18</f>
        <v>0.025974329999999997</v>
      </c>
      <c r="AC51" s="64" t="s">
        <v>194</v>
      </c>
      <c r="AD51" s="132">
        <f t="shared" si="3"/>
        <v>0.025974329999999997</v>
      </c>
      <c r="AE51" s="64" t="s">
        <v>194</v>
      </c>
      <c r="AF51" s="132">
        <f t="shared" si="1"/>
        <v>0.025974329999999997</v>
      </c>
      <c r="AG51" s="133" t="s">
        <v>194</v>
      </c>
      <c r="AH51" s="59"/>
      <c r="AI51" s="38" t="s">
        <v>95</v>
      </c>
    </row>
    <row r="52" spans="1:35" ht="49.5">
      <c r="A52" s="45" t="s">
        <v>170</v>
      </c>
      <c r="B52" s="61" t="s">
        <v>99</v>
      </c>
      <c r="C52" s="109"/>
      <c r="D52" s="133">
        <f>J52</f>
        <v>0</v>
      </c>
      <c r="E52" s="133" t="s">
        <v>194</v>
      </c>
      <c r="F52" s="64">
        <v>0</v>
      </c>
      <c r="G52" s="133" t="s">
        <v>194</v>
      </c>
      <c r="H52" s="64">
        <v>0</v>
      </c>
      <c r="I52" s="64" t="s">
        <v>194</v>
      </c>
      <c r="J52" s="133">
        <f>N52+R52+V52+Z52</f>
        <v>0</v>
      </c>
      <c r="K52" s="64" t="s">
        <v>194</v>
      </c>
      <c r="L52" s="133">
        <f>P52+T52+X52+AB52</f>
        <v>0.26415481</v>
      </c>
      <c r="M52" s="64" t="s">
        <v>194</v>
      </c>
      <c r="N52" s="133">
        <v>0</v>
      </c>
      <c r="O52" s="64" t="s">
        <v>194</v>
      </c>
      <c r="P52" s="133">
        <v>0</v>
      </c>
      <c r="Q52" s="64" t="s">
        <v>194</v>
      </c>
      <c r="R52" s="64">
        <v>0</v>
      </c>
      <c r="S52" s="64" t="s">
        <v>194</v>
      </c>
      <c r="T52" s="133">
        <v>0</v>
      </c>
      <c r="U52" s="64" t="s">
        <v>194</v>
      </c>
      <c r="V52" s="64">
        <v>0</v>
      </c>
      <c r="W52" s="64" t="s">
        <v>194</v>
      </c>
      <c r="X52" s="47">
        <v>0</v>
      </c>
      <c r="Y52" s="64" t="s">
        <v>194</v>
      </c>
      <c r="Z52" s="133">
        <v>0</v>
      </c>
      <c r="AA52" s="64" t="s">
        <v>194</v>
      </c>
      <c r="AB52" s="64">
        <f>'10  финансирование'!T53/1.18</f>
        <v>0.26415481</v>
      </c>
      <c r="AC52" s="64" t="s">
        <v>194</v>
      </c>
      <c r="AD52" s="132">
        <f t="shared" si="3"/>
        <v>0.26415481</v>
      </c>
      <c r="AE52" s="64" t="s">
        <v>194</v>
      </c>
      <c r="AF52" s="132">
        <f t="shared" si="1"/>
        <v>0.26415481</v>
      </c>
      <c r="AG52" s="133" t="s">
        <v>194</v>
      </c>
      <c r="AH52" s="59"/>
      <c r="AI52" s="38" t="s">
        <v>95</v>
      </c>
    </row>
    <row r="53" spans="1:35" ht="49.5">
      <c r="A53" s="49" t="s">
        <v>100</v>
      </c>
      <c r="B53" s="33" t="s">
        <v>101</v>
      </c>
      <c r="C53" s="109"/>
      <c r="D53" s="134">
        <f>SUM(D54:D55)</f>
        <v>0</v>
      </c>
      <c r="E53" s="134"/>
      <c r="F53" s="134">
        <f>SUM(F54:F55)</f>
        <v>0</v>
      </c>
      <c r="G53" s="134" t="s">
        <v>194</v>
      </c>
      <c r="H53" s="134">
        <f>SUM(H54:H56)</f>
        <v>1</v>
      </c>
      <c r="I53" s="134"/>
      <c r="J53" s="134">
        <f>SUM(J54:J56)</f>
        <v>0</v>
      </c>
      <c r="K53" s="134"/>
      <c r="L53" s="134">
        <f>SUM(L54:L64)</f>
        <v>0.18278912</v>
      </c>
      <c r="M53" s="134"/>
      <c r="N53" s="134">
        <f>SUM(N54:N56)</f>
        <v>0</v>
      </c>
      <c r="O53" s="139" t="s">
        <v>194</v>
      </c>
      <c r="P53" s="134">
        <f>SUM(P54:P56)</f>
        <v>0.054447569999999994</v>
      </c>
      <c r="Q53" s="139" t="s">
        <v>194</v>
      </c>
      <c r="R53" s="134">
        <f>SUM(R54:R56)</f>
        <v>0</v>
      </c>
      <c r="S53" s="139" t="s">
        <v>194</v>
      </c>
      <c r="T53" s="134">
        <f>SUM(T54:T56)</f>
        <v>0.06272155</v>
      </c>
      <c r="U53" s="139" t="s">
        <v>194</v>
      </c>
      <c r="V53" s="134">
        <f>SUM(V54:V56)</f>
        <v>0</v>
      </c>
      <c r="W53" s="139" t="s">
        <v>194</v>
      </c>
      <c r="X53" s="134">
        <f>SUM(X54:X64)</f>
        <v>0.06562</v>
      </c>
      <c r="Y53" s="139" t="s">
        <v>194</v>
      </c>
      <c r="Z53" s="134">
        <f>SUM(Z54:Z56)</f>
        <v>0</v>
      </c>
      <c r="AA53" s="134"/>
      <c r="AB53" s="134">
        <f>SUM(AB54:AB56)</f>
        <v>0</v>
      </c>
      <c r="AC53" s="64" t="s">
        <v>194</v>
      </c>
      <c r="AD53" s="132">
        <f t="shared" si="3"/>
        <v>0</v>
      </c>
      <c r="AE53" s="134">
        <f>SUM(AE54:AE56)</f>
        <v>0</v>
      </c>
      <c r="AF53" s="134">
        <f>SUM(AF54:AF56)</f>
        <v>0.11716911999999999</v>
      </c>
      <c r="AG53" s="133" t="s">
        <v>194</v>
      </c>
      <c r="AH53" s="37"/>
      <c r="AI53" s="38" t="s">
        <v>95</v>
      </c>
    </row>
    <row r="54" spans="1:35" ht="49.5">
      <c r="A54" s="45" t="s">
        <v>102</v>
      </c>
      <c r="B54" s="61" t="s">
        <v>103</v>
      </c>
      <c r="C54" s="34"/>
      <c r="D54" s="133">
        <f>J54</f>
        <v>0</v>
      </c>
      <c r="E54" s="133" t="s">
        <v>194</v>
      </c>
      <c r="F54" s="133">
        <v>0</v>
      </c>
      <c r="G54" s="133" t="s">
        <v>194</v>
      </c>
      <c r="H54" s="133">
        <v>0</v>
      </c>
      <c r="I54" s="133" t="s">
        <v>194</v>
      </c>
      <c r="J54" s="133">
        <f aca="true" t="shared" si="7" ref="J54:J64">N54+R54+V54+Z54</f>
        <v>0</v>
      </c>
      <c r="K54" s="133" t="s">
        <v>194</v>
      </c>
      <c r="L54" s="133">
        <f aca="true" t="shared" si="8" ref="L54:L64">P54+T54+X54+AB54</f>
        <v>0.047901769999999996</v>
      </c>
      <c r="M54" s="133" t="s">
        <v>194</v>
      </c>
      <c r="N54" s="133">
        <v>0</v>
      </c>
      <c r="O54" s="64" t="s">
        <v>194</v>
      </c>
      <c r="P54" s="133">
        <f>47.90177/1000</f>
        <v>0.047901769999999996</v>
      </c>
      <c r="Q54" s="64" t="s">
        <v>194</v>
      </c>
      <c r="R54" s="64">
        <v>0</v>
      </c>
      <c r="S54" s="133" t="s">
        <v>194</v>
      </c>
      <c r="T54" s="133">
        <v>0</v>
      </c>
      <c r="U54" s="64" t="s">
        <v>194</v>
      </c>
      <c r="V54" s="133">
        <v>0</v>
      </c>
      <c r="W54" s="133" t="s">
        <v>194</v>
      </c>
      <c r="X54" s="133">
        <v>0</v>
      </c>
      <c r="Y54" s="133" t="s">
        <v>194</v>
      </c>
      <c r="Z54" s="133">
        <v>0</v>
      </c>
      <c r="AA54" s="133" t="s">
        <v>194</v>
      </c>
      <c r="AB54" s="133">
        <v>0</v>
      </c>
      <c r="AC54" s="64" t="s">
        <v>194</v>
      </c>
      <c r="AD54" s="132">
        <f t="shared" si="3"/>
        <v>0</v>
      </c>
      <c r="AE54" s="133" t="s">
        <v>194</v>
      </c>
      <c r="AF54" s="132">
        <f aca="true" t="shared" si="9" ref="AF54:AF73">L54-J54</f>
        <v>0.047901769999999996</v>
      </c>
      <c r="AG54" s="133" t="s">
        <v>194</v>
      </c>
      <c r="AH54" s="59"/>
      <c r="AI54" s="38" t="s">
        <v>95</v>
      </c>
    </row>
    <row r="55" spans="1:35" ht="49.5">
      <c r="A55" s="45" t="s">
        <v>104</v>
      </c>
      <c r="B55" s="61" t="s">
        <v>172</v>
      </c>
      <c r="C55" s="141"/>
      <c r="D55" s="64">
        <f>J55</f>
        <v>0</v>
      </c>
      <c r="E55" s="64" t="s">
        <v>194</v>
      </c>
      <c r="F55" s="64">
        <v>0</v>
      </c>
      <c r="G55" s="64" t="s">
        <v>194</v>
      </c>
      <c r="H55" s="64">
        <v>0</v>
      </c>
      <c r="I55" s="64" t="s">
        <v>194</v>
      </c>
      <c r="J55" s="64">
        <f t="shared" si="7"/>
        <v>0</v>
      </c>
      <c r="K55" s="64" t="s">
        <v>194</v>
      </c>
      <c r="L55" s="64">
        <f t="shared" si="8"/>
        <v>0.0065458</v>
      </c>
      <c r="M55" s="64" t="s">
        <v>194</v>
      </c>
      <c r="N55" s="133">
        <v>0</v>
      </c>
      <c r="O55" s="64" t="s">
        <v>194</v>
      </c>
      <c r="P55" s="142">
        <f>6.5458/1000</f>
        <v>0.0065458</v>
      </c>
      <c r="Q55" s="64" t="s">
        <v>194</v>
      </c>
      <c r="R55" s="133">
        <v>0</v>
      </c>
      <c r="S55" s="133" t="s">
        <v>194</v>
      </c>
      <c r="T55" s="133">
        <v>0</v>
      </c>
      <c r="U55" s="64" t="s">
        <v>194</v>
      </c>
      <c r="V55" s="133">
        <v>0</v>
      </c>
      <c r="W55" s="133" t="s">
        <v>194</v>
      </c>
      <c r="X55" s="143">
        <v>0</v>
      </c>
      <c r="Y55" s="133" t="s">
        <v>194</v>
      </c>
      <c r="Z55" s="133">
        <v>0</v>
      </c>
      <c r="AA55" s="133" t="s">
        <v>194</v>
      </c>
      <c r="AB55" s="143">
        <v>0</v>
      </c>
      <c r="AC55" s="64" t="s">
        <v>194</v>
      </c>
      <c r="AD55" s="132">
        <f t="shared" si="3"/>
        <v>0</v>
      </c>
      <c r="AE55" s="64" t="s">
        <v>194</v>
      </c>
      <c r="AF55" s="144">
        <f t="shared" si="9"/>
        <v>0.0065458</v>
      </c>
      <c r="AG55" s="133" t="s">
        <v>194</v>
      </c>
      <c r="AH55" s="59"/>
      <c r="AI55" s="75" t="s">
        <v>209</v>
      </c>
    </row>
    <row r="56" spans="1:35" ht="33">
      <c r="A56" s="45" t="s">
        <v>106</v>
      </c>
      <c r="B56" s="114" t="s">
        <v>107</v>
      </c>
      <c r="C56" s="46"/>
      <c r="D56" s="133">
        <f>J56</f>
        <v>0</v>
      </c>
      <c r="E56" s="133" t="s">
        <v>194</v>
      </c>
      <c r="F56" s="133">
        <v>0</v>
      </c>
      <c r="G56" s="64" t="s">
        <v>194</v>
      </c>
      <c r="H56" s="64">
        <v>1</v>
      </c>
      <c r="I56" s="133" t="s">
        <v>194</v>
      </c>
      <c r="J56" s="133">
        <f t="shared" si="7"/>
        <v>0</v>
      </c>
      <c r="K56" s="133" t="s">
        <v>194</v>
      </c>
      <c r="L56" s="133">
        <f t="shared" si="8"/>
        <v>0.06272155</v>
      </c>
      <c r="M56" s="64" t="s">
        <v>194</v>
      </c>
      <c r="N56" s="133">
        <v>0</v>
      </c>
      <c r="O56" s="64" t="s">
        <v>194</v>
      </c>
      <c r="P56" s="145">
        <v>0</v>
      </c>
      <c r="Q56" s="64" t="s">
        <v>194</v>
      </c>
      <c r="R56" s="133">
        <v>0</v>
      </c>
      <c r="S56" s="133" t="s">
        <v>194</v>
      </c>
      <c r="T56" s="133">
        <f>62721.55/1000000</f>
        <v>0.06272155</v>
      </c>
      <c r="U56" s="64" t="s">
        <v>194</v>
      </c>
      <c r="V56" s="133">
        <v>0</v>
      </c>
      <c r="W56" s="133" t="s">
        <v>194</v>
      </c>
      <c r="X56" s="133">
        <v>0</v>
      </c>
      <c r="Y56" s="133" t="s">
        <v>194</v>
      </c>
      <c r="Z56" s="133">
        <v>0</v>
      </c>
      <c r="AA56" s="133" t="s">
        <v>194</v>
      </c>
      <c r="AB56" s="133">
        <v>0</v>
      </c>
      <c r="AC56" s="64" t="s">
        <v>194</v>
      </c>
      <c r="AD56" s="132">
        <f t="shared" si="3"/>
        <v>0</v>
      </c>
      <c r="AE56" s="64" t="s">
        <v>194</v>
      </c>
      <c r="AF56" s="132">
        <f t="shared" si="9"/>
        <v>0.06272155</v>
      </c>
      <c r="AG56" s="133" t="s">
        <v>194</v>
      </c>
      <c r="AH56" s="59"/>
      <c r="AI56" s="38" t="s">
        <v>210</v>
      </c>
    </row>
    <row r="57" spans="1:35" ht="33">
      <c r="A57" s="45" t="s">
        <v>108</v>
      </c>
      <c r="B57" s="61" t="s">
        <v>109</v>
      </c>
      <c r="C57" s="46"/>
      <c r="D57" s="133">
        <v>0</v>
      </c>
      <c r="E57" s="133" t="s">
        <v>194</v>
      </c>
      <c r="F57" s="133">
        <v>0</v>
      </c>
      <c r="G57" s="64" t="s">
        <v>194</v>
      </c>
      <c r="H57" s="64">
        <v>2</v>
      </c>
      <c r="I57" s="133" t="s">
        <v>194</v>
      </c>
      <c r="J57" s="133">
        <f t="shared" si="7"/>
        <v>0</v>
      </c>
      <c r="K57" s="133" t="s">
        <v>194</v>
      </c>
      <c r="L57" s="133">
        <f t="shared" si="8"/>
        <v>0.00658</v>
      </c>
      <c r="M57" s="64" t="s">
        <v>194</v>
      </c>
      <c r="N57" s="133">
        <v>0</v>
      </c>
      <c r="O57" s="64" t="s">
        <v>194</v>
      </c>
      <c r="P57" s="145">
        <v>0</v>
      </c>
      <c r="Q57" s="64" t="s">
        <v>194</v>
      </c>
      <c r="R57" s="133">
        <v>0</v>
      </c>
      <c r="S57" s="133" t="s">
        <v>194</v>
      </c>
      <c r="T57" s="133">
        <v>0</v>
      </c>
      <c r="U57" s="64" t="s">
        <v>194</v>
      </c>
      <c r="V57" s="133">
        <v>0</v>
      </c>
      <c r="W57" s="133" t="s">
        <v>194</v>
      </c>
      <c r="X57" s="47">
        <f>6.58/1000</f>
        <v>0.00658</v>
      </c>
      <c r="Y57" s="133" t="s">
        <v>194</v>
      </c>
      <c r="Z57" s="133">
        <v>0</v>
      </c>
      <c r="AA57" s="47">
        <f>6.58/1000</f>
        <v>0.00658</v>
      </c>
      <c r="AB57" s="133">
        <v>0</v>
      </c>
      <c r="AC57" s="64" t="s">
        <v>194</v>
      </c>
      <c r="AD57" s="132">
        <f t="shared" si="3"/>
        <v>0</v>
      </c>
      <c r="AE57" s="64" t="s">
        <v>194</v>
      </c>
      <c r="AF57" s="132">
        <f t="shared" si="9"/>
        <v>0.00658</v>
      </c>
      <c r="AG57" s="133" t="s">
        <v>194</v>
      </c>
      <c r="AH57" s="59"/>
      <c r="AI57" s="38" t="s">
        <v>210</v>
      </c>
    </row>
    <row r="58" spans="1:35" ht="33">
      <c r="A58" s="45" t="s">
        <v>110</v>
      </c>
      <c r="B58" s="61" t="s">
        <v>111</v>
      </c>
      <c r="C58" s="46"/>
      <c r="D58" s="133">
        <v>0</v>
      </c>
      <c r="E58" s="133" t="s">
        <v>194</v>
      </c>
      <c r="F58" s="133">
        <v>0</v>
      </c>
      <c r="G58" s="64" t="s">
        <v>194</v>
      </c>
      <c r="H58" s="64">
        <v>3</v>
      </c>
      <c r="I58" s="133" t="s">
        <v>194</v>
      </c>
      <c r="J58" s="133">
        <f t="shared" si="7"/>
        <v>0</v>
      </c>
      <c r="K58" s="133" t="s">
        <v>194</v>
      </c>
      <c r="L58" s="133">
        <f t="shared" si="8"/>
        <v>0.00661</v>
      </c>
      <c r="M58" s="64" t="s">
        <v>194</v>
      </c>
      <c r="N58" s="133">
        <v>0</v>
      </c>
      <c r="O58" s="64" t="s">
        <v>194</v>
      </c>
      <c r="P58" s="145">
        <v>0</v>
      </c>
      <c r="Q58" s="64" t="s">
        <v>194</v>
      </c>
      <c r="R58" s="133">
        <v>0</v>
      </c>
      <c r="S58" s="133" t="s">
        <v>194</v>
      </c>
      <c r="T58" s="133">
        <v>0</v>
      </c>
      <c r="U58" s="64" t="s">
        <v>194</v>
      </c>
      <c r="V58" s="133">
        <v>0</v>
      </c>
      <c r="W58" s="133" t="s">
        <v>194</v>
      </c>
      <c r="X58" s="47">
        <f>6.61/1000</f>
        <v>0.00661</v>
      </c>
      <c r="Y58" s="133" t="s">
        <v>194</v>
      </c>
      <c r="Z58" s="133">
        <v>0</v>
      </c>
      <c r="AA58" s="47">
        <f>6.61/1000</f>
        <v>0.00661</v>
      </c>
      <c r="AB58" s="133">
        <v>0</v>
      </c>
      <c r="AC58" s="64" t="s">
        <v>194</v>
      </c>
      <c r="AD58" s="132">
        <f t="shared" si="3"/>
        <v>0</v>
      </c>
      <c r="AE58" s="64" t="s">
        <v>194</v>
      </c>
      <c r="AF58" s="132">
        <f t="shared" si="9"/>
        <v>0.00661</v>
      </c>
      <c r="AG58" s="133" t="s">
        <v>194</v>
      </c>
      <c r="AH58" s="59"/>
      <c r="AI58" s="38" t="s">
        <v>210</v>
      </c>
    </row>
    <row r="59" spans="1:35" ht="33">
      <c r="A59" s="45" t="s">
        <v>112</v>
      </c>
      <c r="B59" s="61" t="s">
        <v>113</v>
      </c>
      <c r="C59" s="46"/>
      <c r="D59" s="133">
        <v>0</v>
      </c>
      <c r="E59" s="133" t="s">
        <v>194</v>
      </c>
      <c r="F59" s="133">
        <v>0</v>
      </c>
      <c r="G59" s="64" t="s">
        <v>194</v>
      </c>
      <c r="H59" s="64">
        <v>4</v>
      </c>
      <c r="I59" s="133" t="s">
        <v>194</v>
      </c>
      <c r="J59" s="133">
        <f t="shared" si="7"/>
        <v>0</v>
      </c>
      <c r="K59" s="133" t="s">
        <v>194</v>
      </c>
      <c r="L59" s="133">
        <f t="shared" si="8"/>
        <v>0.01322</v>
      </c>
      <c r="M59" s="64" t="s">
        <v>194</v>
      </c>
      <c r="N59" s="133">
        <v>0</v>
      </c>
      <c r="O59" s="64" t="s">
        <v>194</v>
      </c>
      <c r="P59" s="145">
        <v>0</v>
      </c>
      <c r="Q59" s="64" t="s">
        <v>194</v>
      </c>
      <c r="R59" s="133">
        <v>0</v>
      </c>
      <c r="S59" s="133" t="s">
        <v>194</v>
      </c>
      <c r="T59" s="133">
        <v>0</v>
      </c>
      <c r="U59" s="64" t="s">
        <v>194</v>
      </c>
      <c r="V59" s="133">
        <v>0</v>
      </c>
      <c r="W59" s="133" t="s">
        <v>194</v>
      </c>
      <c r="X59" s="47">
        <f>13.22/1000</f>
        <v>0.01322</v>
      </c>
      <c r="Y59" s="133" t="s">
        <v>194</v>
      </c>
      <c r="Z59" s="133">
        <v>0</v>
      </c>
      <c r="AA59" s="47">
        <f>13.22/1000</f>
        <v>0.01322</v>
      </c>
      <c r="AB59" s="133">
        <v>0</v>
      </c>
      <c r="AC59" s="64" t="s">
        <v>194</v>
      </c>
      <c r="AD59" s="132">
        <f t="shared" si="3"/>
        <v>0</v>
      </c>
      <c r="AE59" s="64" t="s">
        <v>194</v>
      </c>
      <c r="AF59" s="132">
        <f t="shared" si="9"/>
        <v>0.01322</v>
      </c>
      <c r="AG59" s="133" t="s">
        <v>194</v>
      </c>
      <c r="AH59" s="59"/>
      <c r="AI59" s="38" t="s">
        <v>210</v>
      </c>
    </row>
    <row r="60" spans="1:35" ht="33">
      <c r="A60" s="45" t="s">
        <v>114</v>
      </c>
      <c r="B60" s="61" t="s">
        <v>115</v>
      </c>
      <c r="C60" s="46"/>
      <c r="D60" s="133">
        <v>0</v>
      </c>
      <c r="E60" s="133" t="s">
        <v>194</v>
      </c>
      <c r="F60" s="133">
        <v>0</v>
      </c>
      <c r="G60" s="64" t="s">
        <v>194</v>
      </c>
      <c r="H60" s="64">
        <v>5</v>
      </c>
      <c r="I60" s="133" t="s">
        <v>194</v>
      </c>
      <c r="J60" s="133">
        <f t="shared" si="7"/>
        <v>0</v>
      </c>
      <c r="K60" s="133" t="s">
        <v>194</v>
      </c>
      <c r="L60" s="133">
        <f t="shared" si="8"/>
        <v>0.003155</v>
      </c>
      <c r="M60" s="64" t="s">
        <v>194</v>
      </c>
      <c r="N60" s="133">
        <v>0</v>
      </c>
      <c r="O60" s="64" t="s">
        <v>194</v>
      </c>
      <c r="P60" s="145">
        <v>0</v>
      </c>
      <c r="Q60" s="64" t="s">
        <v>194</v>
      </c>
      <c r="R60" s="133">
        <v>0</v>
      </c>
      <c r="S60" s="133" t="s">
        <v>194</v>
      </c>
      <c r="T60" s="133">
        <v>0</v>
      </c>
      <c r="U60" s="64" t="s">
        <v>194</v>
      </c>
      <c r="V60" s="133">
        <v>0</v>
      </c>
      <c r="W60" s="133" t="s">
        <v>194</v>
      </c>
      <c r="X60" s="47">
        <f>3.155/1000</f>
        <v>0.003155</v>
      </c>
      <c r="Y60" s="133" t="s">
        <v>194</v>
      </c>
      <c r="Z60" s="133">
        <v>0</v>
      </c>
      <c r="AA60" s="47">
        <f>3.155/1000</f>
        <v>0.003155</v>
      </c>
      <c r="AB60" s="133">
        <v>0</v>
      </c>
      <c r="AC60" s="64" t="s">
        <v>194</v>
      </c>
      <c r="AD60" s="132">
        <f t="shared" si="3"/>
        <v>0</v>
      </c>
      <c r="AE60" s="64" t="s">
        <v>194</v>
      </c>
      <c r="AF60" s="132">
        <f t="shared" si="9"/>
        <v>0.003155</v>
      </c>
      <c r="AG60" s="133" t="s">
        <v>194</v>
      </c>
      <c r="AH60" s="59"/>
      <c r="AI60" s="38" t="s">
        <v>210</v>
      </c>
    </row>
    <row r="61" spans="1:35" ht="33">
      <c r="A61" s="45" t="s">
        <v>116</v>
      </c>
      <c r="B61" s="61" t="s">
        <v>117</v>
      </c>
      <c r="C61" s="46"/>
      <c r="D61" s="133">
        <v>0</v>
      </c>
      <c r="E61" s="133" t="s">
        <v>194</v>
      </c>
      <c r="F61" s="133">
        <v>0</v>
      </c>
      <c r="G61" s="64" t="s">
        <v>194</v>
      </c>
      <c r="H61" s="64">
        <v>6</v>
      </c>
      <c r="I61" s="133" t="s">
        <v>194</v>
      </c>
      <c r="J61" s="133">
        <f t="shared" si="7"/>
        <v>0</v>
      </c>
      <c r="K61" s="133" t="s">
        <v>194</v>
      </c>
      <c r="L61" s="133">
        <f t="shared" si="8"/>
        <v>0.003155</v>
      </c>
      <c r="M61" s="64" t="s">
        <v>194</v>
      </c>
      <c r="N61" s="133">
        <v>0</v>
      </c>
      <c r="O61" s="64" t="s">
        <v>194</v>
      </c>
      <c r="P61" s="145">
        <v>0</v>
      </c>
      <c r="Q61" s="64" t="s">
        <v>194</v>
      </c>
      <c r="R61" s="133">
        <v>0</v>
      </c>
      <c r="S61" s="133" t="s">
        <v>194</v>
      </c>
      <c r="T61" s="133">
        <v>0</v>
      </c>
      <c r="U61" s="64" t="s">
        <v>194</v>
      </c>
      <c r="V61" s="133">
        <v>0</v>
      </c>
      <c r="W61" s="133" t="s">
        <v>194</v>
      </c>
      <c r="X61" s="47">
        <f>3.155/1000</f>
        <v>0.003155</v>
      </c>
      <c r="Y61" s="133" t="s">
        <v>194</v>
      </c>
      <c r="Z61" s="133">
        <v>0</v>
      </c>
      <c r="AA61" s="47">
        <f>3.155/1000</f>
        <v>0.003155</v>
      </c>
      <c r="AB61" s="133">
        <v>0</v>
      </c>
      <c r="AC61" s="64" t="s">
        <v>194</v>
      </c>
      <c r="AD61" s="132">
        <f t="shared" si="3"/>
        <v>0</v>
      </c>
      <c r="AE61" s="64" t="s">
        <v>194</v>
      </c>
      <c r="AF61" s="132">
        <f t="shared" si="9"/>
        <v>0.003155</v>
      </c>
      <c r="AG61" s="133" t="s">
        <v>194</v>
      </c>
      <c r="AH61" s="59"/>
      <c r="AI61" s="38" t="s">
        <v>210</v>
      </c>
    </row>
    <row r="62" spans="1:35" ht="33">
      <c r="A62" s="45" t="s">
        <v>118</v>
      </c>
      <c r="B62" s="61" t="s">
        <v>119</v>
      </c>
      <c r="C62" s="46"/>
      <c r="D62" s="133">
        <v>0</v>
      </c>
      <c r="E62" s="133" t="s">
        <v>194</v>
      </c>
      <c r="F62" s="133">
        <v>0</v>
      </c>
      <c r="G62" s="64" t="s">
        <v>194</v>
      </c>
      <c r="H62" s="64">
        <v>7</v>
      </c>
      <c r="I62" s="133" t="s">
        <v>194</v>
      </c>
      <c r="J62" s="133">
        <f t="shared" si="7"/>
        <v>0</v>
      </c>
      <c r="K62" s="133" t="s">
        <v>194</v>
      </c>
      <c r="L62" s="133">
        <f t="shared" si="8"/>
        <v>0.00658</v>
      </c>
      <c r="M62" s="64" t="s">
        <v>194</v>
      </c>
      <c r="N62" s="133">
        <v>0</v>
      </c>
      <c r="O62" s="64" t="s">
        <v>194</v>
      </c>
      <c r="P62" s="145">
        <v>0</v>
      </c>
      <c r="Q62" s="64" t="s">
        <v>194</v>
      </c>
      <c r="R62" s="133">
        <v>0</v>
      </c>
      <c r="S62" s="133" t="s">
        <v>194</v>
      </c>
      <c r="T62" s="133">
        <v>0</v>
      </c>
      <c r="U62" s="64" t="s">
        <v>194</v>
      </c>
      <c r="V62" s="133">
        <v>0</v>
      </c>
      <c r="W62" s="133" t="s">
        <v>194</v>
      </c>
      <c r="X62" s="47">
        <f>6.58/1000</f>
        <v>0.00658</v>
      </c>
      <c r="Y62" s="133" t="s">
        <v>194</v>
      </c>
      <c r="Z62" s="133">
        <v>0</v>
      </c>
      <c r="AA62" s="47">
        <f>6.58/1000</f>
        <v>0.00658</v>
      </c>
      <c r="AB62" s="133">
        <v>0</v>
      </c>
      <c r="AC62" s="64" t="s">
        <v>194</v>
      </c>
      <c r="AD62" s="132">
        <f t="shared" si="3"/>
        <v>0</v>
      </c>
      <c r="AE62" s="64" t="s">
        <v>194</v>
      </c>
      <c r="AF62" s="132">
        <f t="shared" si="9"/>
        <v>0.00658</v>
      </c>
      <c r="AG62" s="133" t="s">
        <v>194</v>
      </c>
      <c r="AH62" s="59"/>
      <c r="AI62" s="38" t="s">
        <v>210</v>
      </c>
    </row>
    <row r="63" spans="1:35" ht="33">
      <c r="A63" s="45" t="s">
        <v>120</v>
      </c>
      <c r="B63" s="61" t="s">
        <v>121</v>
      </c>
      <c r="C63" s="46"/>
      <c r="D63" s="133">
        <v>0</v>
      </c>
      <c r="E63" s="133" t="s">
        <v>194</v>
      </c>
      <c r="F63" s="133">
        <v>0</v>
      </c>
      <c r="G63" s="64" t="s">
        <v>194</v>
      </c>
      <c r="H63" s="64">
        <v>8</v>
      </c>
      <c r="I63" s="133" t="s">
        <v>194</v>
      </c>
      <c r="J63" s="133">
        <f t="shared" si="7"/>
        <v>0</v>
      </c>
      <c r="K63" s="133" t="s">
        <v>194</v>
      </c>
      <c r="L63" s="133">
        <f t="shared" si="8"/>
        <v>0.01316</v>
      </c>
      <c r="M63" s="64" t="s">
        <v>194</v>
      </c>
      <c r="N63" s="133">
        <v>0</v>
      </c>
      <c r="O63" s="64" t="s">
        <v>194</v>
      </c>
      <c r="P63" s="145">
        <v>0</v>
      </c>
      <c r="Q63" s="64" t="s">
        <v>194</v>
      </c>
      <c r="R63" s="133">
        <v>0</v>
      </c>
      <c r="S63" s="133" t="s">
        <v>194</v>
      </c>
      <c r="T63" s="133">
        <v>0</v>
      </c>
      <c r="U63" s="64" t="s">
        <v>194</v>
      </c>
      <c r="V63" s="133">
        <v>0</v>
      </c>
      <c r="W63" s="133" t="s">
        <v>194</v>
      </c>
      <c r="X63" s="47">
        <f>13.16/1000</f>
        <v>0.01316</v>
      </c>
      <c r="Y63" s="133" t="s">
        <v>194</v>
      </c>
      <c r="Z63" s="133">
        <v>0</v>
      </c>
      <c r="AA63" s="47">
        <f>13.16/1000</f>
        <v>0.01316</v>
      </c>
      <c r="AB63" s="133">
        <v>0</v>
      </c>
      <c r="AC63" s="64" t="s">
        <v>194</v>
      </c>
      <c r="AD63" s="132">
        <f t="shared" si="3"/>
        <v>0</v>
      </c>
      <c r="AE63" s="64" t="s">
        <v>194</v>
      </c>
      <c r="AF63" s="132">
        <f t="shared" si="9"/>
        <v>0.01316</v>
      </c>
      <c r="AG63" s="133" t="s">
        <v>194</v>
      </c>
      <c r="AH63" s="59"/>
      <c r="AI63" s="38" t="s">
        <v>210</v>
      </c>
    </row>
    <row r="64" spans="1:35" ht="33">
      <c r="A64" s="45" t="s">
        <v>122</v>
      </c>
      <c r="B64" s="61" t="s">
        <v>123</v>
      </c>
      <c r="C64" s="46"/>
      <c r="D64" s="133">
        <v>0</v>
      </c>
      <c r="E64" s="133" t="s">
        <v>194</v>
      </c>
      <c r="F64" s="133">
        <v>0</v>
      </c>
      <c r="G64" s="64" t="s">
        <v>194</v>
      </c>
      <c r="H64" s="64">
        <v>9</v>
      </c>
      <c r="I64" s="133" t="s">
        <v>194</v>
      </c>
      <c r="J64" s="133">
        <f t="shared" si="7"/>
        <v>0</v>
      </c>
      <c r="K64" s="133" t="s">
        <v>194</v>
      </c>
      <c r="L64" s="133">
        <f t="shared" si="8"/>
        <v>0.01316</v>
      </c>
      <c r="M64" s="64" t="s">
        <v>194</v>
      </c>
      <c r="N64" s="133">
        <v>0</v>
      </c>
      <c r="O64" s="64" t="s">
        <v>194</v>
      </c>
      <c r="P64" s="145">
        <v>0</v>
      </c>
      <c r="Q64" s="64" t="s">
        <v>194</v>
      </c>
      <c r="R64" s="133">
        <v>0</v>
      </c>
      <c r="S64" s="133" t="s">
        <v>194</v>
      </c>
      <c r="T64" s="133">
        <v>0</v>
      </c>
      <c r="U64" s="64" t="s">
        <v>194</v>
      </c>
      <c r="V64" s="133">
        <v>0</v>
      </c>
      <c r="W64" s="133" t="s">
        <v>194</v>
      </c>
      <c r="X64" s="47">
        <f>13.16/1000</f>
        <v>0.01316</v>
      </c>
      <c r="Y64" s="133" t="s">
        <v>194</v>
      </c>
      <c r="Z64" s="133">
        <v>0</v>
      </c>
      <c r="AA64" s="47">
        <f>13.16/1000</f>
        <v>0.01316</v>
      </c>
      <c r="AB64" s="133">
        <v>0</v>
      </c>
      <c r="AC64" s="64" t="s">
        <v>194</v>
      </c>
      <c r="AD64" s="132">
        <f t="shared" si="3"/>
        <v>0</v>
      </c>
      <c r="AE64" s="64" t="s">
        <v>194</v>
      </c>
      <c r="AF64" s="132">
        <f t="shared" si="9"/>
        <v>0.01316</v>
      </c>
      <c r="AG64" s="133" t="s">
        <v>194</v>
      </c>
      <c r="AH64" s="59"/>
      <c r="AI64" s="38" t="s">
        <v>210</v>
      </c>
    </row>
    <row r="65" spans="1:35" ht="18.75">
      <c r="A65" s="146" t="s">
        <v>124</v>
      </c>
      <c r="B65" s="112" t="s">
        <v>125</v>
      </c>
      <c r="C65" s="109"/>
      <c r="D65" s="134">
        <f>SUM(D66:D69)</f>
        <v>5.982623271999992</v>
      </c>
      <c r="E65" s="133" t="s">
        <v>194</v>
      </c>
      <c r="F65" s="134">
        <v>0</v>
      </c>
      <c r="G65" s="64" t="s">
        <v>194</v>
      </c>
      <c r="H65" s="134">
        <v>0</v>
      </c>
      <c r="I65" s="134" t="s">
        <v>194</v>
      </c>
      <c r="J65" s="134">
        <f>SUM(J66:J73)</f>
        <v>5.982623271999992</v>
      </c>
      <c r="K65" s="134" t="s">
        <v>194</v>
      </c>
      <c r="L65" s="134">
        <f>SUM(L66:L73)</f>
        <v>14.190141268983052</v>
      </c>
      <c r="M65" s="134" t="s">
        <v>194</v>
      </c>
      <c r="N65" s="134">
        <f>SUM(N66:N69)</f>
        <v>0</v>
      </c>
      <c r="O65" s="134">
        <f>SUM(O66:O69)</f>
        <v>0</v>
      </c>
      <c r="P65" s="134">
        <f>SUM(P66:P69)</f>
        <v>0.006223220000000001</v>
      </c>
      <c r="Q65" s="134">
        <f>SUM(Q66:Q69)</f>
        <v>0</v>
      </c>
      <c r="R65" s="134">
        <f>SUM(R66:R69)</f>
        <v>0</v>
      </c>
      <c r="S65" s="139">
        <v>0</v>
      </c>
      <c r="T65" s="134">
        <f>SUM(T66:T73)</f>
        <v>0.97255812</v>
      </c>
      <c r="U65" s="139" t="s">
        <v>194</v>
      </c>
      <c r="V65" s="134">
        <f>SUM(V66:V69)</f>
        <v>0</v>
      </c>
      <c r="W65" s="134" t="s">
        <v>194</v>
      </c>
      <c r="X65" s="134">
        <f>SUM(X66:X70)</f>
        <v>4.0724339</v>
      </c>
      <c r="Y65" s="134" t="s">
        <v>194</v>
      </c>
      <c r="Z65" s="134">
        <f>SUM(Z66:Z73)</f>
        <v>5.982623271999992</v>
      </c>
      <c r="AA65" s="134" t="s">
        <v>194</v>
      </c>
      <c r="AB65" s="134">
        <f>SUM(AB66:AB73)</f>
        <v>9.13892602898305</v>
      </c>
      <c r="AC65" s="64" t="s">
        <v>194</v>
      </c>
      <c r="AD65" s="132">
        <f t="shared" si="3"/>
        <v>3.1563027569830586</v>
      </c>
      <c r="AE65" s="134" t="s">
        <v>194</v>
      </c>
      <c r="AF65" s="131">
        <f t="shared" si="9"/>
        <v>8.20751799698306</v>
      </c>
      <c r="AG65" s="133" t="s">
        <v>194</v>
      </c>
      <c r="AH65" s="37">
        <f>AF65/J65</f>
        <v>1.3718928342682166</v>
      </c>
      <c r="AI65" s="51"/>
    </row>
    <row r="66" spans="1:35" ht="18.75">
      <c r="A66" s="45" t="s">
        <v>126</v>
      </c>
      <c r="B66" s="114" t="s">
        <v>127</v>
      </c>
      <c r="C66" s="110"/>
      <c r="D66" s="147">
        <f>J66</f>
        <v>4.2</v>
      </c>
      <c r="E66" s="133" t="s">
        <v>194</v>
      </c>
      <c r="F66" s="148">
        <v>0</v>
      </c>
      <c r="G66" s="64" t="s">
        <v>194</v>
      </c>
      <c r="H66" s="148">
        <v>0</v>
      </c>
      <c r="I66" s="148" t="s">
        <v>194</v>
      </c>
      <c r="J66" s="147">
        <f aca="true" t="shared" si="10" ref="J66:J73">N66+R66+V66+Z66</f>
        <v>4.2</v>
      </c>
      <c r="K66" s="134" t="s">
        <v>194</v>
      </c>
      <c r="L66" s="147">
        <f aca="true" t="shared" si="11" ref="L66:L73">P66+T66+X66+AB66</f>
        <v>3.928995528983051</v>
      </c>
      <c r="M66" s="133" t="s">
        <v>194</v>
      </c>
      <c r="N66" s="147">
        <v>0</v>
      </c>
      <c r="O66" s="133" t="s">
        <v>194</v>
      </c>
      <c r="P66" s="147">
        <v>0</v>
      </c>
      <c r="Q66" s="64" t="s">
        <v>194</v>
      </c>
      <c r="R66" s="147">
        <v>0</v>
      </c>
      <c r="S66" s="133" t="s">
        <v>194</v>
      </c>
      <c r="T66" s="147">
        <f>972558.12/1000000</f>
        <v>0.97255812</v>
      </c>
      <c r="U66" s="64" t="s">
        <v>194</v>
      </c>
      <c r="V66" s="147">
        <v>0</v>
      </c>
      <c r="W66" s="133" t="s">
        <v>194</v>
      </c>
      <c r="X66" s="47">
        <f>(3403.86-972.56)/1000</f>
        <v>2.4313000000000002</v>
      </c>
      <c r="Y66" s="148" t="s">
        <v>194</v>
      </c>
      <c r="Z66" s="147">
        <f>4.956/1.18</f>
        <v>4.2</v>
      </c>
      <c r="AA66" s="148" t="s">
        <v>194</v>
      </c>
      <c r="AB66" s="147">
        <f>'10  финансирование'!T67/1.18</f>
        <v>0.5251374089830508</v>
      </c>
      <c r="AC66" s="64" t="s">
        <v>194</v>
      </c>
      <c r="AD66" s="132">
        <f t="shared" si="3"/>
        <v>-3.6748625910169492</v>
      </c>
      <c r="AE66" s="148" t="s">
        <v>194</v>
      </c>
      <c r="AF66" s="149">
        <f t="shared" si="9"/>
        <v>-0.271004471016949</v>
      </c>
      <c r="AG66" s="133" t="s">
        <v>194</v>
      </c>
      <c r="AH66" s="150">
        <f>AF66/J66</f>
        <v>-0.06452487405165452</v>
      </c>
      <c r="AI66" s="151"/>
    </row>
    <row r="67" spans="1:35" ht="66">
      <c r="A67" s="45" t="s">
        <v>129</v>
      </c>
      <c r="B67" s="114" t="s">
        <v>130</v>
      </c>
      <c r="C67" s="109"/>
      <c r="D67" s="133">
        <f>J67</f>
        <v>0.6</v>
      </c>
      <c r="E67" s="133" t="s">
        <v>194</v>
      </c>
      <c r="F67" s="64">
        <v>0</v>
      </c>
      <c r="G67" s="64" t="s">
        <v>194</v>
      </c>
      <c r="H67" s="64">
        <v>0</v>
      </c>
      <c r="I67" s="64" t="s">
        <v>194</v>
      </c>
      <c r="J67" s="133">
        <f t="shared" si="10"/>
        <v>0.6</v>
      </c>
      <c r="K67" s="134" t="s">
        <v>194</v>
      </c>
      <c r="L67" s="133">
        <f t="shared" si="11"/>
        <v>0</v>
      </c>
      <c r="M67" s="133" t="s">
        <v>194</v>
      </c>
      <c r="N67" s="147">
        <v>0</v>
      </c>
      <c r="O67" s="133" t="s">
        <v>194</v>
      </c>
      <c r="P67" s="147">
        <v>0</v>
      </c>
      <c r="Q67" s="64" t="s">
        <v>194</v>
      </c>
      <c r="R67" s="147">
        <v>0</v>
      </c>
      <c r="S67" s="133" t="s">
        <v>194</v>
      </c>
      <c r="T67" s="133">
        <v>0</v>
      </c>
      <c r="U67" s="64" t="s">
        <v>194</v>
      </c>
      <c r="V67" s="147">
        <v>0</v>
      </c>
      <c r="W67" s="133" t="s">
        <v>194</v>
      </c>
      <c r="X67" s="47">
        <v>0</v>
      </c>
      <c r="Y67" s="64" t="s">
        <v>194</v>
      </c>
      <c r="Z67" s="133">
        <f>0.708/1.18</f>
        <v>0.6</v>
      </c>
      <c r="AA67" s="64" t="s">
        <v>194</v>
      </c>
      <c r="AB67" s="133">
        <v>0</v>
      </c>
      <c r="AC67" s="64" t="s">
        <v>194</v>
      </c>
      <c r="AD67" s="132">
        <f t="shared" si="3"/>
        <v>-0.6</v>
      </c>
      <c r="AE67" s="64" t="s">
        <v>194</v>
      </c>
      <c r="AF67" s="132">
        <f t="shared" si="9"/>
        <v>-0.6</v>
      </c>
      <c r="AG67" s="133" t="s">
        <v>194</v>
      </c>
      <c r="AH67" s="59">
        <f>AF67/J67</f>
        <v>-1</v>
      </c>
      <c r="AI67" s="38" t="s">
        <v>59</v>
      </c>
    </row>
    <row r="68" spans="1:35" ht="18.75">
      <c r="A68" s="45" t="s">
        <v>131</v>
      </c>
      <c r="B68" s="117" t="s">
        <v>132</v>
      </c>
      <c r="C68" s="141"/>
      <c r="D68" s="64">
        <f>J68</f>
        <v>1.1826232719999916</v>
      </c>
      <c r="E68" s="133" t="s">
        <v>194</v>
      </c>
      <c r="F68" s="64">
        <v>0</v>
      </c>
      <c r="G68" s="64" t="s">
        <v>194</v>
      </c>
      <c r="H68" s="64">
        <v>0</v>
      </c>
      <c r="I68" s="64" t="s">
        <v>194</v>
      </c>
      <c r="J68" s="64">
        <f t="shared" si="10"/>
        <v>1.1826232719999916</v>
      </c>
      <c r="K68" s="134" t="s">
        <v>194</v>
      </c>
      <c r="L68" s="64">
        <f t="shared" si="11"/>
        <v>1.5691</v>
      </c>
      <c r="M68" s="133" t="s">
        <v>194</v>
      </c>
      <c r="N68" s="147">
        <v>0</v>
      </c>
      <c r="O68" s="133" t="s">
        <v>194</v>
      </c>
      <c r="P68" s="147">
        <v>0</v>
      </c>
      <c r="Q68" s="64" t="s">
        <v>194</v>
      </c>
      <c r="R68" s="147">
        <v>0</v>
      </c>
      <c r="S68" s="133" t="s">
        <v>194</v>
      </c>
      <c r="T68" s="133">
        <v>0</v>
      </c>
      <c r="U68" s="64" t="s">
        <v>194</v>
      </c>
      <c r="V68" s="147">
        <v>0</v>
      </c>
      <c r="W68" s="133" t="s">
        <v>194</v>
      </c>
      <c r="X68" s="73">
        <f>1569.1/1000</f>
        <v>1.5691</v>
      </c>
      <c r="Y68" s="64" t="s">
        <v>194</v>
      </c>
      <c r="Z68" s="64">
        <f>1.39549546095999/1.18</f>
        <v>1.1826232719999916</v>
      </c>
      <c r="AA68" s="64" t="s">
        <v>194</v>
      </c>
      <c r="AB68" s="64">
        <v>0</v>
      </c>
      <c r="AC68" s="64" t="s">
        <v>194</v>
      </c>
      <c r="AD68" s="132">
        <f t="shared" si="3"/>
        <v>-1.1826232719999916</v>
      </c>
      <c r="AE68" s="64" t="s">
        <v>194</v>
      </c>
      <c r="AF68" s="144">
        <f t="shared" si="9"/>
        <v>0.3864767280000083</v>
      </c>
      <c r="AG68" s="133" t="s">
        <v>194</v>
      </c>
      <c r="AH68" s="74">
        <f>AF68/J68</f>
        <v>0.3267961464570359</v>
      </c>
      <c r="AI68" s="75"/>
    </row>
    <row r="69" spans="1:35" ht="18.75">
      <c r="A69" s="68" t="s">
        <v>134</v>
      </c>
      <c r="B69" s="69" t="s">
        <v>135</v>
      </c>
      <c r="C69" s="141"/>
      <c r="D69" s="64">
        <f>J69</f>
        <v>0</v>
      </c>
      <c r="E69" s="133" t="s">
        <v>194</v>
      </c>
      <c r="F69" s="64">
        <v>0</v>
      </c>
      <c r="G69" s="64" t="s">
        <v>194</v>
      </c>
      <c r="H69" s="64">
        <v>0</v>
      </c>
      <c r="I69" s="64" t="s">
        <v>194</v>
      </c>
      <c r="J69" s="64">
        <f t="shared" si="10"/>
        <v>0</v>
      </c>
      <c r="K69" s="134" t="s">
        <v>194</v>
      </c>
      <c r="L69" s="64">
        <f t="shared" si="11"/>
        <v>0.006223220000000001</v>
      </c>
      <c r="M69" s="64" t="s">
        <v>194</v>
      </c>
      <c r="N69" s="148">
        <v>0</v>
      </c>
      <c r="O69" s="64" t="s">
        <v>194</v>
      </c>
      <c r="P69" s="64">
        <f>6.22322/1000</f>
        <v>0.006223220000000001</v>
      </c>
      <c r="Q69" s="64" t="s">
        <v>194</v>
      </c>
      <c r="R69" s="148">
        <v>0</v>
      </c>
      <c r="S69" s="64" t="s">
        <v>194</v>
      </c>
      <c r="T69" s="64">
        <v>0</v>
      </c>
      <c r="U69" s="64" t="s">
        <v>194</v>
      </c>
      <c r="V69" s="148">
        <v>0</v>
      </c>
      <c r="W69" s="64" t="s">
        <v>194</v>
      </c>
      <c r="X69" s="73">
        <v>0</v>
      </c>
      <c r="Y69" s="64" t="s">
        <v>194</v>
      </c>
      <c r="Z69" s="64">
        <v>0</v>
      </c>
      <c r="AA69" s="64" t="s">
        <v>194</v>
      </c>
      <c r="AB69" s="64">
        <v>0</v>
      </c>
      <c r="AC69" s="64" t="s">
        <v>194</v>
      </c>
      <c r="AD69" s="132">
        <f t="shared" si="3"/>
        <v>0</v>
      </c>
      <c r="AE69" s="64" t="s">
        <v>194</v>
      </c>
      <c r="AF69" s="144">
        <f t="shared" si="9"/>
        <v>0.006223220000000001</v>
      </c>
      <c r="AG69" s="133" t="s">
        <v>194</v>
      </c>
      <c r="AH69" s="74"/>
      <c r="AI69" s="75"/>
    </row>
    <row r="70" spans="1:35" ht="33">
      <c r="A70" s="45" t="s">
        <v>136</v>
      </c>
      <c r="B70" s="46" t="s">
        <v>137</v>
      </c>
      <c r="C70" s="77"/>
      <c r="D70" s="133">
        <f>J70</f>
        <v>0</v>
      </c>
      <c r="E70" s="133" t="s">
        <v>194</v>
      </c>
      <c r="F70" s="133">
        <v>0</v>
      </c>
      <c r="G70" s="64" t="s">
        <v>194</v>
      </c>
      <c r="H70" s="64">
        <v>0</v>
      </c>
      <c r="I70" s="133" t="s">
        <v>194</v>
      </c>
      <c r="J70" s="133">
        <f t="shared" si="10"/>
        <v>0</v>
      </c>
      <c r="K70" s="134" t="s">
        <v>194</v>
      </c>
      <c r="L70" s="133">
        <f t="shared" si="11"/>
        <v>0.0720339</v>
      </c>
      <c r="M70" s="133" t="s">
        <v>194</v>
      </c>
      <c r="N70" s="133">
        <v>0</v>
      </c>
      <c r="O70" s="133" t="s">
        <v>194</v>
      </c>
      <c r="P70" s="133">
        <v>0</v>
      </c>
      <c r="Q70" s="133" t="s">
        <v>194</v>
      </c>
      <c r="R70" s="133">
        <v>0</v>
      </c>
      <c r="S70" s="133" t="s">
        <v>194</v>
      </c>
      <c r="T70" s="133">
        <v>0</v>
      </c>
      <c r="U70" s="133" t="s">
        <v>194</v>
      </c>
      <c r="V70" s="133">
        <v>0</v>
      </c>
      <c r="W70" s="133" t="s">
        <v>194</v>
      </c>
      <c r="X70" s="136">
        <f>72.0339/1000</f>
        <v>0.0720339</v>
      </c>
      <c r="Y70" s="133" t="s">
        <v>194</v>
      </c>
      <c r="Z70" s="133">
        <v>0</v>
      </c>
      <c r="AA70" s="133" t="s">
        <v>194</v>
      </c>
      <c r="AB70" s="64">
        <v>0</v>
      </c>
      <c r="AC70" s="64" t="s">
        <v>194</v>
      </c>
      <c r="AD70" s="132">
        <f t="shared" si="3"/>
        <v>0</v>
      </c>
      <c r="AE70" s="133" t="s">
        <v>194</v>
      </c>
      <c r="AF70" s="132">
        <f t="shared" si="9"/>
        <v>0.0720339</v>
      </c>
      <c r="AG70" s="133" t="s">
        <v>194</v>
      </c>
      <c r="AH70" s="59"/>
      <c r="AI70" s="109"/>
    </row>
    <row r="71" spans="1:35" ht="18.75">
      <c r="A71" s="45" t="s">
        <v>138</v>
      </c>
      <c r="B71" s="76" t="s">
        <v>139</v>
      </c>
      <c r="C71" s="77"/>
      <c r="D71" s="133">
        <v>0</v>
      </c>
      <c r="E71" s="133" t="s">
        <v>194</v>
      </c>
      <c r="F71" s="133">
        <v>0</v>
      </c>
      <c r="G71" s="64" t="s">
        <v>194</v>
      </c>
      <c r="H71" s="64">
        <v>0</v>
      </c>
      <c r="I71" s="133" t="s">
        <v>194</v>
      </c>
      <c r="J71" s="133">
        <f t="shared" si="10"/>
        <v>0</v>
      </c>
      <c r="K71" s="134" t="s">
        <v>194</v>
      </c>
      <c r="L71" s="133">
        <f t="shared" si="11"/>
        <v>0.5165449999999999</v>
      </c>
      <c r="M71" s="133" t="s">
        <v>194</v>
      </c>
      <c r="N71" s="133">
        <v>0</v>
      </c>
      <c r="O71" s="133" t="s">
        <v>194</v>
      </c>
      <c r="P71" s="133">
        <v>0</v>
      </c>
      <c r="Q71" s="133" t="s">
        <v>194</v>
      </c>
      <c r="R71" s="133">
        <v>0</v>
      </c>
      <c r="S71" s="133" t="s">
        <v>194</v>
      </c>
      <c r="T71" s="133">
        <v>0</v>
      </c>
      <c r="U71" s="133" t="s">
        <v>194</v>
      </c>
      <c r="V71" s="133">
        <v>0</v>
      </c>
      <c r="W71" s="133" t="s">
        <v>194</v>
      </c>
      <c r="X71" s="136">
        <v>0</v>
      </c>
      <c r="Y71" s="133" t="s">
        <v>194</v>
      </c>
      <c r="Z71" s="133">
        <v>0</v>
      </c>
      <c r="AA71" s="133" t="s">
        <v>194</v>
      </c>
      <c r="AB71" s="81">
        <f>'10  финансирование'!T72/1.18</f>
        <v>0.5165449999999999</v>
      </c>
      <c r="AC71" s="64" t="s">
        <v>194</v>
      </c>
      <c r="AD71" s="132">
        <f t="shared" si="3"/>
        <v>0.5165449999999999</v>
      </c>
      <c r="AE71" s="133" t="s">
        <v>194</v>
      </c>
      <c r="AF71" s="132">
        <f t="shared" si="9"/>
        <v>0.5165449999999999</v>
      </c>
      <c r="AG71" s="133" t="s">
        <v>194</v>
      </c>
      <c r="AH71" s="59"/>
      <c r="AI71" s="109"/>
    </row>
    <row r="72" spans="1:35" ht="33">
      <c r="A72" s="45" t="s">
        <v>140</v>
      </c>
      <c r="B72" s="76" t="s">
        <v>141</v>
      </c>
      <c r="C72" s="77"/>
      <c r="D72" s="133">
        <v>0</v>
      </c>
      <c r="E72" s="133" t="s">
        <v>194</v>
      </c>
      <c r="F72" s="133">
        <v>0</v>
      </c>
      <c r="G72" s="64" t="s">
        <v>194</v>
      </c>
      <c r="H72" s="64">
        <v>0</v>
      </c>
      <c r="I72" s="133" t="s">
        <v>194</v>
      </c>
      <c r="J72" s="133">
        <f t="shared" si="10"/>
        <v>0</v>
      </c>
      <c r="K72" s="134" t="s">
        <v>194</v>
      </c>
      <c r="L72" s="133">
        <f t="shared" si="11"/>
        <v>0.06928064</v>
      </c>
      <c r="M72" s="133" t="s">
        <v>194</v>
      </c>
      <c r="N72" s="133">
        <v>0</v>
      </c>
      <c r="O72" s="133" t="s">
        <v>194</v>
      </c>
      <c r="P72" s="133">
        <v>0</v>
      </c>
      <c r="Q72" s="133" t="s">
        <v>194</v>
      </c>
      <c r="R72" s="133">
        <v>0</v>
      </c>
      <c r="S72" s="133" t="s">
        <v>194</v>
      </c>
      <c r="T72" s="133">
        <v>0</v>
      </c>
      <c r="U72" s="133" t="s">
        <v>194</v>
      </c>
      <c r="V72" s="133">
        <v>0</v>
      </c>
      <c r="W72" s="133" t="s">
        <v>194</v>
      </c>
      <c r="X72" s="136">
        <v>0</v>
      </c>
      <c r="Y72" s="133" t="s">
        <v>194</v>
      </c>
      <c r="Z72" s="133">
        <v>0</v>
      </c>
      <c r="AA72" s="133" t="s">
        <v>194</v>
      </c>
      <c r="AB72" s="81">
        <f>'10  финансирование'!T73/1.18</f>
        <v>0.06928064</v>
      </c>
      <c r="AC72" s="64" t="s">
        <v>194</v>
      </c>
      <c r="AD72" s="132">
        <f t="shared" si="3"/>
        <v>0.06928064</v>
      </c>
      <c r="AE72" s="133" t="s">
        <v>194</v>
      </c>
      <c r="AF72" s="132">
        <f t="shared" si="9"/>
        <v>0.06928064</v>
      </c>
      <c r="AG72" s="133" t="s">
        <v>194</v>
      </c>
      <c r="AH72" s="59"/>
      <c r="AI72" s="109"/>
    </row>
    <row r="73" spans="1:35" ht="18.75">
      <c r="A73" s="45" t="s">
        <v>142</v>
      </c>
      <c r="B73" s="76" t="s">
        <v>143</v>
      </c>
      <c r="C73" s="77"/>
      <c r="D73" s="133">
        <v>0</v>
      </c>
      <c r="E73" s="133" t="s">
        <v>194</v>
      </c>
      <c r="F73" s="133">
        <v>0</v>
      </c>
      <c r="G73" s="64" t="s">
        <v>194</v>
      </c>
      <c r="H73" s="64">
        <v>0</v>
      </c>
      <c r="I73" s="133" t="s">
        <v>194</v>
      </c>
      <c r="J73" s="133">
        <f t="shared" si="10"/>
        <v>0</v>
      </c>
      <c r="K73" s="134" t="s">
        <v>194</v>
      </c>
      <c r="L73" s="133">
        <f t="shared" si="11"/>
        <v>8.02796298</v>
      </c>
      <c r="M73" s="133" t="s">
        <v>194</v>
      </c>
      <c r="N73" s="133">
        <v>0</v>
      </c>
      <c r="O73" s="133" t="s">
        <v>194</v>
      </c>
      <c r="P73" s="133">
        <v>0</v>
      </c>
      <c r="Q73" s="133" t="s">
        <v>194</v>
      </c>
      <c r="R73" s="133">
        <v>0</v>
      </c>
      <c r="S73" s="133" t="s">
        <v>194</v>
      </c>
      <c r="T73" s="133">
        <v>0</v>
      </c>
      <c r="U73" s="133" t="s">
        <v>194</v>
      </c>
      <c r="V73" s="133">
        <v>0</v>
      </c>
      <c r="W73" s="133" t="s">
        <v>194</v>
      </c>
      <c r="X73" s="136">
        <v>0</v>
      </c>
      <c r="Y73" s="133" t="s">
        <v>194</v>
      </c>
      <c r="Z73" s="133">
        <v>0</v>
      </c>
      <c r="AA73" s="133" t="s">
        <v>194</v>
      </c>
      <c r="AB73" s="81">
        <f>'10  финансирование'!T74/1.18</f>
        <v>8.02796298</v>
      </c>
      <c r="AC73" s="64" t="s">
        <v>194</v>
      </c>
      <c r="AD73" s="132">
        <f t="shared" si="3"/>
        <v>8.02796298</v>
      </c>
      <c r="AE73" s="133" t="s">
        <v>194</v>
      </c>
      <c r="AF73" s="132">
        <f t="shared" si="9"/>
        <v>8.02796298</v>
      </c>
      <c r="AG73" s="133" t="s">
        <v>194</v>
      </c>
      <c r="AH73" s="59"/>
      <c r="AI73" s="109"/>
    </row>
    <row r="74" spans="2:34" ht="15.75" customHeight="1">
      <c r="B74" s="359"/>
      <c r="C74" s="359"/>
      <c r="D74" s="5"/>
      <c r="J74" s="5"/>
      <c r="N74" s="123"/>
      <c r="Q74" s="152"/>
      <c r="R74" s="123"/>
      <c r="V74" s="123"/>
      <c r="Z74" s="123"/>
      <c r="AG74" s="4"/>
      <c r="AH74" s="4"/>
    </row>
    <row r="75" spans="4:17" ht="15.75">
      <c r="D75" s="153"/>
      <c r="J75" s="154"/>
      <c r="Q75" s="152"/>
    </row>
    <row r="76" spans="4:28" ht="15.75">
      <c r="D76" s="5"/>
      <c r="J76" s="5"/>
      <c r="L76" s="88"/>
      <c r="Q76" s="152"/>
      <c r="AB76" s="88"/>
    </row>
    <row r="77" ht="15.75">
      <c r="Q77" s="152"/>
    </row>
    <row r="78" ht="15.75">
      <c r="Q78" s="152"/>
    </row>
  </sheetData>
  <sheetProtection selectLockedCells="1" selectUnlockedCells="1"/>
  <mergeCells count="36">
    <mergeCell ref="AE15:AH15"/>
    <mergeCell ref="AI15:AI18"/>
    <mergeCell ref="I16:L16"/>
    <mergeCell ref="M16:P16"/>
    <mergeCell ref="Q16:T16"/>
    <mergeCell ref="U16:X16"/>
    <mergeCell ref="AE16:AF17"/>
    <mergeCell ref="AG16:AH17"/>
    <mergeCell ref="AC15:AD16"/>
    <mergeCell ref="U17:V17"/>
    <mergeCell ref="B74:C74"/>
    <mergeCell ref="E15:F17"/>
    <mergeCell ref="G15:H17"/>
    <mergeCell ref="I15:AB15"/>
    <mergeCell ref="I17:J17"/>
    <mergeCell ref="K17:L17"/>
    <mergeCell ref="M17:N17"/>
    <mergeCell ref="O17:P17"/>
    <mergeCell ref="Q17:R17"/>
    <mergeCell ref="S17:T17"/>
    <mergeCell ref="W17:X17"/>
    <mergeCell ref="Y17:Z17"/>
    <mergeCell ref="AA17:AB17"/>
    <mergeCell ref="A15:A18"/>
    <mergeCell ref="B15:B18"/>
    <mergeCell ref="C15:C18"/>
    <mergeCell ref="D15:D18"/>
    <mergeCell ref="Y16:AB16"/>
    <mergeCell ref="A4:AI4"/>
    <mergeCell ref="A6:AI6"/>
    <mergeCell ref="A7:AI7"/>
    <mergeCell ref="A9:AI9"/>
    <mergeCell ref="A10:W10"/>
    <mergeCell ref="A12:AI12"/>
    <mergeCell ref="A13:AI13"/>
    <mergeCell ref="A14:AI14"/>
  </mergeCells>
  <dataValidations count="2">
    <dataValidation type="textLength" operator="lessThanOrEqual" allowBlank="1" showErrorMessage="1" errorTitle="Ошибка" error="Допускается ввод не более 900 символов!" sqref="B22 B32:B33 B35:B46 B48:B52 B54:B64 B66:B69">
      <formula1>900</formula1>
    </dataValidation>
    <dataValidation type="decimal" allowBlank="1" showErrorMessage="1" errorTitle="Ошибка" error="Допускается ввод только неотрицательных чисел!" sqref="R33 V33 X33:X34 Z33 AB33 T33:T46 T50:T52 T54:T55 T57:T64 T67:T73">
      <formula1>0</formula1>
      <formula2>9.99999999999999E+23</formula2>
    </dataValidation>
  </dataValidations>
  <printOptions/>
  <pageMargins left="0.7" right="0.7" top="0.75" bottom="0.75" header="0.5118055555555555" footer="0.5118055555555555"/>
  <pageSetup fitToHeight="2" fitToWidth="1" horizontalDpi="300" verticalDpi="300" orientation="landscape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view="pageBreakPreview" zoomScaleNormal="85" zoomScaleSheetLayoutView="100" zoomScalePageLayoutView="0" workbookViewId="0" topLeftCell="B10">
      <pane xSplit="1" topLeftCell="G2" activePane="topRight" state="frozen"/>
      <selection pane="topLeft" activeCell="B15" sqref="B15"/>
      <selection pane="topRight" activeCell="O20" sqref="O20:R20"/>
    </sheetView>
  </sheetViews>
  <sheetFormatPr defaultColWidth="7.140625" defaultRowHeight="12.75"/>
  <cols>
    <col min="1" max="1" width="13.00390625" style="1" customWidth="1"/>
    <col min="2" max="2" width="100.140625" style="2" customWidth="1"/>
    <col min="3" max="3" width="15.421875" style="1" customWidth="1"/>
    <col min="4" max="4" width="13.7109375" style="4" bestFit="1" customWidth="1"/>
    <col min="5" max="5" width="6.57421875" style="4" customWidth="1"/>
    <col min="6" max="6" width="8.421875" style="25" customWidth="1"/>
    <col min="7" max="7" width="12.140625" style="25" customWidth="1"/>
    <col min="8" max="8" width="8.28125" style="25" customWidth="1"/>
    <col min="9" max="9" width="8.8515625" style="4" customWidth="1"/>
    <col min="10" max="10" width="8.421875" style="4" bestFit="1" customWidth="1"/>
    <col min="11" max="11" width="8.8515625" style="4" customWidth="1"/>
    <col min="12" max="12" width="12.421875" style="4" customWidth="1"/>
    <col min="13" max="13" width="8.57421875" style="4" customWidth="1"/>
    <col min="14" max="14" width="8.28125" style="4" customWidth="1"/>
    <col min="15" max="16" width="9.00390625" style="4" customWidth="1"/>
    <col min="17" max="17" width="12.140625" style="4" customWidth="1"/>
    <col min="18" max="18" width="10.28125" style="4" customWidth="1"/>
    <col min="19" max="19" width="9.8515625" style="4" customWidth="1"/>
    <col min="20" max="20" width="9.140625" style="4" customWidth="1"/>
    <col min="21" max="21" width="8.28125" style="4" customWidth="1"/>
    <col min="22" max="22" width="11.8515625" style="4" customWidth="1"/>
    <col min="23" max="23" width="11.28125" style="4" customWidth="1"/>
    <col min="24" max="244" width="9.8515625" style="155" customWidth="1"/>
    <col min="245" max="245" width="40.57421875" style="155" customWidth="1"/>
    <col min="246" max="246" width="7.8515625" style="155" customWidth="1"/>
    <col min="247" max="247" width="6.57421875" style="155" customWidth="1"/>
    <col min="248" max="248" width="6.28125" style="155" customWidth="1"/>
    <col min="249" max="249" width="11.57421875" style="155" customWidth="1"/>
    <col min="250" max="250" width="8.28125" style="155" customWidth="1"/>
    <col min="251" max="251" width="7.00390625" style="155" customWidth="1"/>
    <col min="252" max="252" width="7.140625" style="155" customWidth="1"/>
    <col min="253" max="253" width="7.00390625" style="155" customWidth="1"/>
    <col min="254" max="254" width="8.7109375" style="155" customWidth="1"/>
    <col min="255" max="255" width="8.57421875" style="155" customWidth="1"/>
    <col min="256" max="16384" width="7.140625" style="155" customWidth="1"/>
  </cols>
  <sheetData>
    <row r="1" spans="1:23" ht="18.75">
      <c r="A1" s="8" t="s">
        <v>0</v>
      </c>
      <c r="W1" s="11" t="s">
        <v>211</v>
      </c>
    </row>
    <row r="2" ht="18.75">
      <c r="W2" s="11" t="s">
        <v>2</v>
      </c>
    </row>
    <row r="3" spans="2:23" ht="18.75">
      <c r="B3" s="2" t="s">
        <v>0</v>
      </c>
      <c r="W3" s="11" t="s">
        <v>3</v>
      </c>
    </row>
    <row r="4" spans="1:23" s="7" customFormat="1" ht="18.75">
      <c r="A4" s="345" t="s">
        <v>212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</row>
    <row r="5" spans="1:23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</row>
    <row r="6" spans="1:23" s="7" customFormat="1" ht="18.75" customHeight="1">
      <c r="A6" s="346" t="s">
        <v>257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</row>
    <row r="7" spans="1:23" s="7" customFormat="1" ht="18.75" customHeight="1">
      <c r="A7" s="346" t="s">
        <v>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</row>
    <row r="8" spans="1:23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7" customFormat="1" ht="15.75">
      <c r="A9" s="344" t="s">
        <v>146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</row>
    <row r="10" spans="1:23" s="7" customFormat="1" ht="15.7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</row>
    <row r="11" spans="1:23" s="7" customFormat="1" ht="15.75">
      <c r="A11" s="16"/>
      <c r="B11" s="91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7" customFormat="1" ht="18.75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</row>
    <row r="13" spans="1:23" ht="15.75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</row>
    <row r="14" ht="15.75">
      <c r="O14" s="89"/>
    </row>
    <row r="15" spans="1:23" ht="15.75" customHeight="1">
      <c r="A15" s="360" t="s">
        <v>259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</row>
    <row r="16" spans="1:23" ht="15.75" customHeight="1">
      <c r="A16" s="348" t="s">
        <v>8</v>
      </c>
      <c r="B16" s="348" t="s">
        <v>9</v>
      </c>
      <c r="C16" s="348" t="s">
        <v>213</v>
      </c>
      <c r="D16" s="352" t="s">
        <v>214</v>
      </c>
      <c r="E16" s="352"/>
      <c r="F16" s="352"/>
      <c r="G16" s="352"/>
      <c r="H16" s="352"/>
      <c r="I16" s="352" t="s">
        <v>215</v>
      </c>
      <c r="J16" s="352"/>
      <c r="K16" s="352"/>
      <c r="L16" s="352"/>
      <c r="M16" s="352"/>
      <c r="N16" s="352" t="s">
        <v>216</v>
      </c>
      <c r="O16" s="352"/>
      <c r="P16" s="352"/>
      <c r="Q16" s="352"/>
      <c r="R16" s="352"/>
      <c r="S16" s="352" t="s">
        <v>217</v>
      </c>
      <c r="T16" s="352"/>
      <c r="U16" s="352"/>
      <c r="V16" s="352"/>
      <c r="W16" s="352"/>
    </row>
    <row r="17" spans="1:23" ht="21.75" customHeight="1">
      <c r="A17" s="348"/>
      <c r="B17" s="348"/>
      <c r="C17" s="348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</row>
    <row r="18" spans="1:23" ht="47.25">
      <c r="A18" s="348"/>
      <c r="B18" s="348"/>
      <c r="C18" s="348"/>
      <c r="D18" s="156" t="s">
        <v>20</v>
      </c>
      <c r="E18" s="156" t="s">
        <v>218</v>
      </c>
      <c r="F18" s="156" t="s">
        <v>219</v>
      </c>
      <c r="G18" s="156" t="s">
        <v>220</v>
      </c>
      <c r="H18" s="156" t="s">
        <v>221</v>
      </c>
      <c r="I18" s="156" t="s">
        <v>20</v>
      </c>
      <c r="J18" s="156" t="s">
        <v>218</v>
      </c>
      <c r="K18" s="156" t="s">
        <v>219</v>
      </c>
      <c r="L18" s="156" t="s">
        <v>220</v>
      </c>
      <c r="M18" s="156" t="s">
        <v>221</v>
      </c>
      <c r="N18" s="156" t="s">
        <v>20</v>
      </c>
      <c r="O18" s="156" t="s">
        <v>218</v>
      </c>
      <c r="P18" s="156" t="s">
        <v>219</v>
      </c>
      <c r="Q18" s="156" t="s">
        <v>220</v>
      </c>
      <c r="R18" s="156" t="s">
        <v>221</v>
      </c>
      <c r="S18" s="156" t="s">
        <v>20</v>
      </c>
      <c r="T18" s="156" t="s">
        <v>218</v>
      </c>
      <c r="U18" s="156" t="s">
        <v>219</v>
      </c>
      <c r="V18" s="156" t="s">
        <v>220</v>
      </c>
      <c r="W18" s="156" t="s">
        <v>221</v>
      </c>
    </row>
    <row r="19" spans="1:23" ht="15.75">
      <c r="A19" s="157">
        <v>1</v>
      </c>
      <c r="B19" s="157">
        <v>2</v>
      </c>
      <c r="C19" s="158">
        <v>3</v>
      </c>
      <c r="D19" s="159">
        <v>4</v>
      </c>
      <c r="E19" s="159">
        <v>5</v>
      </c>
      <c r="F19" s="159">
        <v>6</v>
      </c>
      <c r="G19" s="159">
        <v>7</v>
      </c>
      <c r="H19" s="159">
        <v>8</v>
      </c>
      <c r="I19" s="159">
        <v>9</v>
      </c>
      <c r="J19" s="159">
        <v>10</v>
      </c>
      <c r="K19" s="159">
        <v>11</v>
      </c>
      <c r="L19" s="159">
        <v>12</v>
      </c>
      <c r="M19" s="159">
        <v>13</v>
      </c>
      <c r="N19" s="159">
        <v>14</v>
      </c>
      <c r="O19" s="159">
        <v>15</v>
      </c>
      <c r="P19" s="159">
        <v>16</v>
      </c>
      <c r="Q19" s="159">
        <v>17</v>
      </c>
      <c r="R19" s="159">
        <v>18</v>
      </c>
      <c r="S19" s="159">
        <v>19</v>
      </c>
      <c r="T19" s="159">
        <v>20</v>
      </c>
      <c r="U19" s="159">
        <v>21</v>
      </c>
      <c r="V19" s="159">
        <v>22</v>
      </c>
      <c r="W19" s="159">
        <v>23</v>
      </c>
    </row>
    <row r="20" spans="1:23" ht="18.75">
      <c r="A20" s="32"/>
      <c r="B20" s="234" t="s">
        <v>32</v>
      </c>
      <c r="C20" s="268"/>
      <c r="D20" s="162">
        <f aca="true" t="shared" si="0" ref="D20:W20">D21+D33+D84</f>
        <v>21.44942403999999</v>
      </c>
      <c r="E20" s="162">
        <f t="shared" si="0"/>
        <v>0</v>
      </c>
      <c r="F20" s="162">
        <f t="shared" si="0"/>
        <v>4.3169785737119994</v>
      </c>
      <c r="G20" s="162">
        <f t="shared" si="0"/>
        <v>17.13244546628799</v>
      </c>
      <c r="H20" s="162">
        <f t="shared" si="0"/>
        <v>0</v>
      </c>
      <c r="I20" s="162">
        <f t="shared" si="0"/>
        <v>21.455078787599994</v>
      </c>
      <c r="J20" s="162">
        <f t="shared" si="0"/>
        <v>0</v>
      </c>
      <c r="K20" s="162">
        <f t="shared" si="0"/>
        <v>1.3825359976799998</v>
      </c>
      <c r="L20" s="162">
        <f t="shared" si="0"/>
        <v>20.072542789919996</v>
      </c>
      <c r="M20" s="162">
        <f t="shared" si="0"/>
        <v>0</v>
      </c>
      <c r="N20" s="162">
        <f t="shared" si="0"/>
        <v>0.005654747600010168</v>
      </c>
      <c r="O20" s="162">
        <f t="shared" si="0"/>
        <v>0</v>
      </c>
      <c r="P20" s="162">
        <f t="shared" si="0"/>
        <v>-2.9344425760320005</v>
      </c>
      <c r="Q20" s="162">
        <f t="shared" si="0"/>
        <v>2.9400973236320107</v>
      </c>
      <c r="R20" s="162">
        <f t="shared" si="0"/>
        <v>0</v>
      </c>
      <c r="S20" s="162">
        <f t="shared" si="0"/>
        <v>21.455078787599994</v>
      </c>
      <c r="T20" s="162">
        <f t="shared" si="0"/>
        <v>0</v>
      </c>
      <c r="U20" s="162">
        <f t="shared" si="0"/>
        <v>1.3825359976799998</v>
      </c>
      <c r="V20" s="162">
        <f t="shared" si="0"/>
        <v>20.072542789919996</v>
      </c>
      <c r="W20" s="162">
        <f t="shared" si="0"/>
        <v>0</v>
      </c>
    </row>
    <row r="21" spans="1:23" s="165" customFormat="1" ht="18.75">
      <c r="A21" s="135" t="s">
        <v>34</v>
      </c>
      <c r="B21" s="230" t="s">
        <v>35</v>
      </c>
      <c r="C21" s="269"/>
      <c r="D21" s="164">
        <f>SUM(D23:D32)</f>
        <v>0</v>
      </c>
      <c r="E21" s="164">
        <f>SUM(E23:E32)</f>
        <v>0</v>
      </c>
      <c r="F21" s="164">
        <f>SUM(F23:F32)</f>
        <v>0</v>
      </c>
      <c r="G21" s="164">
        <f>SUM(G23:G32)</f>
        <v>0</v>
      </c>
      <c r="H21" s="164">
        <f>SUM(H23:H32)</f>
        <v>0</v>
      </c>
      <c r="I21" s="164">
        <f aca="true" t="shared" si="1" ref="I21:W21">SUM(I22:I32)</f>
        <v>2.3751031149999995</v>
      </c>
      <c r="J21" s="164">
        <f t="shared" si="1"/>
        <v>0</v>
      </c>
      <c r="K21" s="164">
        <f t="shared" si="1"/>
        <v>0.68185330512</v>
      </c>
      <c r="L21" s="164">
        <f t="shared" si="1"/>
        <v>1.6932498098800002</v>
      </c>
      <c r="M21" s="164">
        <f t="shared" si="1"/>
        <v>0</v>
      </c>
      <c r="N21" s="164">
        <f t="shared" si="1"/>
        <v>2.3751031149999995</v>
      </c>
      <c r="O21" s="164">
        <f t="shared" si="1"/>
        <v>0</v>
      </c>
      <c r="P21" s="164">
        <f t="shared" si="1"/>
        <v>0.68185330512</v>
      </c>
      <c r="Q21" s="164">
        <f t="shared" si="1"/>
        <v>1.6932498098800002</v>
      </c>
      <c r="R21" s="164">
        <f t="shared" si="1"/>
        <v>0</v>
      </c>
      <c r="S21" s="164">
        <f t="shared" si="1"/>
        <v>2.3751031149999995</v>
      </c>
      <c r="T21" s="164">
        <f t="shared" si="1"/>
        <v>0</v>
      </c>
      <c r="U21" s="164">
        <f t="shared" si="1"/>
        <v>0.68185330512</v>
      </c>
      <c r="V21" s="164">
        <f t="shared" si="1"/>
        <v>1.6932498098800002</v>
      </c>
      <c r="W21" s="164">
        <f t="shared" si="1"/>
        <v>0</v>
      </c>
    </row>
    <row r="22" spans="1:23" s="165" customFormat="1" ht="31.5">
      <c r="A22" s="135"/>
      <c r="B22" s="228" t="s">
        <v>258</v>
      </c>
      <c r="C22" s="269"/>
      <c r="D22" s="167">
        <v>0</v>
      </c>
      <c r="E22" s="173">
        <v>0</v>
      </c>
      <c r="F22" s="174">
        <v>0</v>
      </c>
      <c r="G22" s="167">
        <v>0</v>
      </c>
      <c r="H22" s="167">
        <v>0</v>
      </c>
      <c r="I22" s="167">
        <v>0.1022587646</v>
      </c>
      <c r="J22" s="167">
        <v>0</v>
      </c>
      <c r="K22" s="168">
        <v>0</v>
      </c>
      <c r="L22" s="168">
        <v>0.1022587646</v>
      </c>
      <c r="M22" s="167">
        <v>0</v>
      </c>
      <c r="N22" s="167">
        <f>I22-D22</f>
        <v>0.1022587646</v>
      </c>
      <c r="O22" s="167">
        <f>J22-E22</f>
        <v>0</v>
      </c>
      <c r="P22" s="167">
        <f>K22-F22</f>
        <v>0</v>
      </c>
      <c r="Q22" s="167">
        <f>L22-G22</f>
        <v>0.1022587646</v>
      </c>
      <c r="R22" s="167">
        <f>M22-H22</f>
        <v>0</v>
      </c>
      <c r="S22" s="167">
        <f>I22</f>
        <v>0.1022587646</v>
      </c>
      <c r="T22" s="167">
        <f>J22</f>
        <v>0</v>
      </c>
      <c r="U22" s="167">
        <f>K22</f>
        <v>0</v>
      </c>
      <c r="V22" s="167">
        <f>L22</f>
        <v>0.1022587646</v>
      </c>
      <c r="W22" s="167">
        <f>M22</f>
        <v>0</v>
      </c>
    </row>
    <row r="23" spans="1:23" ht="18.75">
      <c r="A23" s="45" t="s">
        <v>155</v>
      </c>
      <c r="B23" s="228" t="s">
        <v>157</v>
      </c>
      <c r="C23" s="268"/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f>242.44696/1000*1.18</f>
        <v>0.2860874128</v>
      </c>
      <c r="J23" s="167">
        <v>0</v>
      </c>
      <c r="K23" s="168">
        <f>I23*0.3</f>
        <v>0.08582622384</v>
      </c>
      <c r="L23" s="169">
        <f>I23-K23</f>
        <v>0.20026118896</v>
      </c>
      <c r="M23" s="167">
        <v>0</v>
      </c>
      <c r="N23" s="167">
        <f aca="true" t="shared" si="2" ref="N23:R26">I23-D23</f>
        <v>0.2860874128</v>
      </c>
      <c r="O23" s="167">
        <f t="shared" si="2"/>
        <v>0</v>
      </c>
      <c r="P23" s="167">
        <f t="shared" si="2"/>
        <v>0.08582622384</v>
      </c>
      <c r="Q23" s="167">
        <f t="shared" si="2"/>
        <v>0.20026118896</v>
      </c>
      <c r="R23" s="167">
        <f t="shared" si="2"/>
        <v>0</v>
      </c>
      <c r="S23" s="167">
        <f aca="true" t="shared" si="3" ref="S23:S86">I23</f>
        <v>0.2860874128</v>
      </c>
      <c r="T23" s="167">
        <f aca="true" t="shared" si="4" ref="T23:T86">J23</f>
        <v>0</v>
      </c>
      <c r="U23" s="167">
        <f aca="true" t="shared" si="5" ref="U23:U86">K23</f>
        <v>0.08582622384</v>
      </c>
      <c r="V23" s="167">
        <f aca="true" t="shared" si="6" ref="V23:V86">L23</f>
        <v>0.20026118896</v>
      </c>
      <c r="W23" s="167">
        <f aca="true" t="shared" si="7" ref="W23:W86">M23</f>
        <v>0</v>
      </c>
    </row>
    <row r="24" spans="1:23" s="165" customFormat="1" ht="18.75">
      <c r="A24" s="135"/>
      <c r="B24" s="228" t="s">
        <v>42</v>
      </c>
      <c r="C24" s="269"/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f>104.2821/1000*1.18</f>
        <v>0.12305287799999999</v>
      </c>
      <c r="J24" s="167">
        <v>0</v>
      </c>
      <c r="K24" s="170">
        <f>I24*0.3</f>
        <v>0.0369158634</v>
      </c>
      <c r="L24" s="169">
        <f>I24-K24</f>
        <v>0.08613701459999999</v>
      </c>
      <c r="M24" s="167">
        <v>0</v>
      </c>
      <c r="N24" s="167">
        <f t="shared" si="2"/>
        <v>0.12305287799999999</v>
      </c>
      <c r="O24" s="167">
        <f t="shared" si="2"/>
        <v>0</v>
      </c>
      <c r="P24" s="170">
        <f t="shared" si="2"/>
        <v>0.0369158634</v>
      </c>
      <c r="Q24" s="167">
        <f t="shared" si="2"/>
        <v>0.08613701459999999</v>
      </c>
      <c r="R24" s="167">
        <f t="shared" si="2"/>
        <v>0</v>
      </c>
      <c r="S24" s="167">
        <f t="shared" si="3"/>
        <v>0.12305287799999999</v>
      </c>
      <c r="T24" s="167">
        <f t="shared" si="4"/>
        <v>0</v>
      </c>
      <c r="U24" s="167">
        <f t="shared" si="5"/>
        <v>0.0369158634</v>
      </c>
      <c r="V24" s="167">
        <f t="shared" si="6"/>
        <v>0.08613701459999999</v>
      </c>
      <c r="W24" s="167">
        <f t="shared" si="7"/>
        <v>0</v>
      </c>
    </row>
    <row r="25" spans="1:23" s="165" customFormat="1" ht="31.5">
      <c r="A25" s="135"/>
      <c r="B25" s="228" t="s">
        <v>44</v>
      </c>
      <c r="C25" s="269"/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71">
        <v>1.0909989956</v>
      </c>
      <c r="J25" s="167">
        <v>0</v>
      </c>
      <c r="K25" s="168">
        <f>I25*0.3</f>
        <v>0.32729969868</v>
      </c>
      <c r="L25" s="169">
        <f>I25-K25</f>
        <v>0.7636992969199999</v>
      </c>
      <c r="M25" s="167">
        <v>0</v>
      </c>
      <c r="N25" s="167">
        <f t="shared" si="2"/>
        <v>1.0909989956</v>
      </c>
      <c r="O25" s="167">
        <f t="shared" si="2"/>
        <v>0</v>
      </c>
      <c r="P25" s="167">
        <f t="shared" si="2"/>
        <v>0.32729969868</v>
      </c>
      <c r="Q25" s="167">
        <f t="shared" si="2"/>
        <v>0.7636992969199999</v>
      </c>
      <c r="R25" s="167">
        <f t="shared" si="2"/>
        <v>0</v>
      </c>
      <c r="S25" s="167">
        <f t="shared" si="3"/>
        <v>1.0909989956</v>
      </c>
      <c r="T25" s="167">
        <f t="shared" si="4"/>
        <v>0</v>
      </c>
      <c r="U25" s="167">
        <f t="shared" si="5"/>
        <v>0.32729969868</v>
      </c>
      <c r="V25" s="167">
        <f t="shared" si="6"/>
        <v>0.7636992969199999</v>
      </c>
      <c r="W25" s="167">
        <f t="shared" si="7"/>
        <v>0</v>
      </c>
    </row>
    <row r="26" spans="1:23" s="165" customFormat="1" ht="18.75" hidden="1">
      <c r="A26" s="135"/>
      <c r="B26" s="228"/>
      <c r="C26" s="269"/>
      <c r="D26" s="167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7">
        <v>0</v>
      </c>
      <c r="M26" s="167"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167">
        <f t="shared" si="3"/>
        <v>0</v>
      </c>
      <c r="T26" s="167">
        <f t="shared" si="4"/>
        <v>0</v>
      </c>
      <c r="U26" s="167">
        <f t="shared" si="5"/>
        <v>0</v>
      </c>
      <c r="V26" s="167">
        <f t="shared" si="6"/>
        <v>0</v>
      </c>
      <c r="W26" s="167">
        <f t="shared" si="7"/>
        <v>0</v>
      </c>
    </row>
    <row r="27" spans="1:23" s="165" customFormat="1" ht="18.75" hidden="1">
      <c r="A27" s="135"/>
      <c r="B27" s="234"/>
      <c r="C27" s="269"/>
      <c r="D27" s="169"/>
      <c r="E27" s="169"/>
      <c r="F27" s="169"/>
      <c r="G27" s="169"/>
      <c r="H27" s="169"/>
      <c r="I27" s="169"/>
      <c r="J27" s="167">
        <v>0</v>
      </c>
      <c r="K27" s="168">
        <v>0</v>
      </c>
      <c r="L27" s="169"/>
      <c r="M27" s="169"/>
      <c r="N27" s="169"/>
      <c r="O27" s="169"/>
      <c r="P27" s="169"/>
      <c r="Q27" s="169"/>
      <c r="R27" s="169"/>
      <c r="S27" s="167">
        <f t="shared" si="3"/>
        <v>0</v>
      </c>
      <c r="T27" s="167">
        <f t="shared" si="4"/>
        <v>0</v>
      </c>
      <c r="U27" s="167">
        <f t="shared" si="5"/>
        <v>0</v>
      </c>
      <c r="V27" s="167">
        <f t="shared" si="6"/>
        <v>0</v>
      </c>
      <c r="W27" s="167">
        <f t="shared" si="7"/>
        <v>0</v>
      </c>
    </row>
    <row r="28" spans="1:23" ht="18.75" hidden="1">
      <c r="A28" s="45"/>
      <c r="B28" s="233"/>
      <c r="C28" s="268"/>
      <c r="D28" s="167"/>
      <c r="E28" s="173"/>
      <c r="F28" s="174"/>
      <c r="G28" s="167"/>
      <c r="H28" s="167"/>
      <c r="I28" s="167"/>
      <c r="J28" s="167">
        <v>0</v>
      </c>
      <c r="K28" s="168">
        <v>0</v>
      </c>
      <c r="L28" s="167"/>
      <c r="M28" s="167"/>
      <c r="N28" s="167"/>
      <c r="O28" s="167"/>
      <c r="P28" s="167"/>
      <c r="Q28" s="167"/>
      <c r="R28" s="167"/>
      <c r="S28" s="167">
        <f t="shared" si="3"/>
        <v>0</v>
      </c>
      <c r="T28" s="167">
        <f t="shared" si="4"/>
        <v>0</v>
      </c>
      <c r="U28" s="167">
        <f t="shared" si="5"/>
        <v>0</v>
      </c>
      <c r="V28" s="167">
        <f t="shared" si="6"/>
        <v>0</v>
      </c>
      <c r="W28" s="167">
        <f t="shared" si="7"/>
        <v>0</v>
      </c>
    </row>
    <row r="29" spans="1:23" ht="18.75">
      <c r="A29" s="45"/>
      <c r="B29" s="228" t="s">
        <v>46</v>
      </c>
      <c r="C29" s="268"/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71">
        <f>33.00479/1000*1.18</f>
        <v>0.0389456522</v>
      </c>
      <c r="J29" s="167">
        <v>0</v>
      </c>
      <c r="K29" s="168">
        <f>I29*0.3</f>
        <v>0.01168369566</v>
      </c>
      <c r="L29" s="169">
        <f>I29-K29</f>
        <v>0.02726195654</v>
      </c>
      <c r="M29" s="167">
        <v>0</v>
      </c>
      <c r="N29" s="167">
        <f aca="true" t="shared" si="8" ref="N29:R32">I29-D29</f>
        <v>0.0389456522</v>
      </c>
      <c r="O29" s="167">
        <f t="shared" si="8"/>
        <v>0</v>
      </c>
      <c r="P29" s="167">
        <f t="shared" si="8"/>
        <v>0.01168369566</v>
      </c>
      <c r="Q29" s="167">
        <f t="shared" si="8"/>
        <v>0.02726195654</v>
      </c>
      <c r="R29" s="167">
        <f t="shared" si="8"/>
        <v>0</v>
      </c>
      <c r="S29" s="167">
        <f t="shared" si="3"/>
        <v>0.0389456522</v>
      </c>
      <c r="T29" s="167">
        <f t="shared" si="4"/>
        <v>0</v>
      </c>
      <c r="U29" s="167">
        <f t="shared" si="5"/>
        <v>0.01168369566</v>
      </c>
      <c r="V29" s="167">
        <f t="shared" si="6"/>
        <v>0.02726195654</v>
      </c>
      <c r="W29" s="167">
        <f t="shared" si="7"/>
        <v>0</v>
      </c>
    </row>
    <row r="30" spans="1:23" ht="18.75">
      <c r="A30" s="45"/>
      <c r="B30" s="270" t="s">
        <v>48</v>
      </c>
      <c r="C30" s="268"/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71">
        <f>207.16803/1000*1.18</f>
        <v>0.24445827539999995</v>
      </c>
      <c r="J30" s="167">
        <v>0</v>
      </c>
      <c r="K30" s="168">
        <f>I30*0.3</f>
        <v>0.07333748261999998</v>
      </c>
      <c r="L30" s="169">
        <f>I30-K30</f>
        <v>0.17112079277999998</v>
      </c>
      <c r="M30" s="167">
        <v>0</v>
      </c>
      <c r="N30" s="167">
        <f t="shared" si="8"/>
        <v>0.24445827539999995</v>
      </c>
      <c r="O30" s="167">
        <f t="shared" si="8"/>
        <v>0</v>
      </c>
      <c r="P30" s="167">
        <f t="shared" si="8"/>
        <v>0.07333748261999998</v>
      </c>
      <c r="Q30" s="167">
        <f t="shared" si="8"/>
        <v>0.17112079277999998</v>
      </c>
      <c r="R30" s="167">
        <f t="shared" si="8"/>
        <v>0</v>
      </c>
      <c r="S30" s="167">
        <f t="shared" si="3"/>
        <v>0.24445827539999995</v>
      </c>
      <c r="T30" s="167">
        <f t="shared" si="4"/>
        <v>0</v>
      </c>
      <c r="U30" s="167">
        <f t="shared" si="5"/>
        <v>0.07333748261999998</v>
      </c>
      <c r="V30" s="167">
        <f t="shared" si="6"/>
        <v>0.17112079277999998</v>
      </c>
      <c r="W30" s="167">
        <f t="shared" si="7"/>
        <v>0</v>
      </c>
    </row>
    <row r="31" spans="1:23" ht="18.75">
      <c r="A31" s="45"/>
      <c r="B31" s="270" t="s">
        <v>50</v>
      </c>
      <c r="C31" s="268"/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71">
        <f>216.79145/1000*1.18</f>
        <v>0.255813911</v>
      </c>
      <c r="J31" s="167">
        <v>0</v>
      </c>
      <c r="K31" s="168">
        <f>I31*0.3</f>
        <v>0.0767441733</v>
      </c>
      <c r="L31" s="169">
        <f>I31-K31</f>
        <v>0.1790697377</v>
      </c>
      <c r="M31" s="167">
        <v>0</v>
      </c>
      <c r="N31" s="167">
        <f t="shared" si="8"/>
        <v>0.255813911</v>
      </c>
      <c r="O31" s="167">
        <f t="shared" si="8"/>
        <v>0</v>
      </c>
      <c r="P31" s="167">
        <f t="shared" si="8"/>
        <v>0.0767441733</v>
      </c>
      <c r="Q31" s="167">
        <f t="shared" si="8"/>
        <v>0.1790697377</v>
      </c>
      <c r="R31" s="167">
        <f t="shared" si="8"/>
        <v>0</v>
      </c>
      <c r="S31" s="167">
        <f t="shared" si="3"/>
        <v>0.255813911</v>
      </c>
      <c r="T31" s="167">
        <f t="shared" si="4"/>
        <v>0</v>
      </c>
      <c r="U31" s="167">
        <f t="shared" si="5"/>
        <v>0.0767441733</v>
      </c>
      <c r="V31" s="167">
        <f t="shared" si="6"/>
        <v>0.1790697377</v>
      </c>
      <c r="W31" s="167">
        <f t="shared" si="7"/>
        <v>0</v>
      </c>
    </row>
    <row r="32" spans="1:23" ht="18.75">
      <c r="A32" s="45"/>
      <c r="B32" s="270" t="s">
        <v>52</v>
      </c>
      <c r="C32" s="268"/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71">
        <f>197.87053/1000*1.18</f>
        <v>0.23348722539999997</v>
      </c>
      <c r="J32" s="167">
        <v>0</v>
      </c>
      <c r="K32" s="168">
        <f>I32*0.3</f>
        <v>0.07004616761999999</v>
      </c>
      <c r="L32" s="169">
        <f>I32-K32</f>
        <v>0.16344105777999998</v>
      </c>
      <c r="M32" s="167">
        <v>0</v>
      </c>
      <c r="N32" s="167">
        <f t="shared" si="8"/>
        <v>0.23348722539999997</v>
      </c>
      <c r="O32" s="167">
        <f t="shared" si="8"/>
        <v>0</v>
      </c>
      <c r="P32" s="167">
        <f t="shared" si="8"/>
        <v>0.07004616761999999</v>
      </c>
      <c r="Q32" s="167">
        <f t="shared" si="8"/>
        <v>0.16344105777999998</v>
      </c>
      <c r="R32" s="167">
        <f t="shared" si="8"/>
        <v>0</v>
      </c>
      <c r="S32" s="167">
        <f t="shared" si="3"/>
        <v>0.23348722539999997</v>
      </c>
      <c r="T32" s="167">
        <f t="shared" si="4"/>
        <v>0</v>
      </c>
      <c r="U32" s="167">
        <f t="shared" si="5"/>
        <v>0.07004616761999999</v>
      </c>
      <c r="V32" s="167">
        <f t="shared" si="6"/>
        <v>0.16344105777999998</v>
      </c>
      <c r="W32" s="167">
        <f t="shared" si="7"/>
        <v>0</v>
      </c>
    </row>
    <row r="33" spans="1:23" s="165" customFormat="1" ht="18.75">
      <c r="A33" s="49" t="s">
        <v>53</v>
      </c>
      <c r="B33" s="234" t="s">
        <v>54</v>
      </c>
      <c r="C33" s="269"/>
      <c r="D33" s="164">
        <f aca="true" t="shared" si="9" ref="D33:R33">D34+D38+D59+D65</f>
        <v>14.389928579040001</v>
      </c>
      <c r="E33" s="164">
        <f t="shared" si="9"/>
        <v>0</v>
      </c>
      <c r="F33" s="164">
        <f t="shared" si="9"/>
        <v>4.3169785737119994</v>
      </c>
      <c r="G33" s="164">
        <f t="shared" si="9"/>
        <v>10.072950005328</v>
      </c>
      <c r="H33" s="164">
        <f t="shared" si="9"/>
        <v>0</v>
      </c>
      <c r="I33" s="164">
        <f t="shared" si="9"/>
        <v>2.3356089752</v>
      </c>
      <c r="J33" s="164">
        <f t="shared" si="9"/>
        <v>0</v>
      </c>
      <c r="K33" s="164">
        <f t="shared" si="9"/>
        <v>0.7006826925599999</v>
      </c>
      <c r="L33" s="164">
        <f t="shared" si="9"/>
        <v>1.63492628264</v>
      </c>
      <c r="M33" s="164">
        <f t="shared" si="9"/>
        <v>0</v>
      </c>
      <c r="N33" s="164">
        <f t="shared" si="9"/>
        <v>-12.05431960384</v>
      </c>
      <c r="O33" s="164">
        <f t="shared" si="9"/>
        <v>0</v>
      </c>
      <c r="P33" s="164">
        <f t="shared" si="9"/>
        <v>-3.6162958811520003</v>
      </c>
      <c r="Q33" s="164">
        <f t="shared" si="9"/>
        <v>-8.438023722688</v>
      </c>
      <c r="R33" s="164">
        <f t="shared" si="9"/>
        <v>0</v>
      </c>
      <c r="S33" s="167">
        <f t="shared" si="3"/>
        <v>2.3356089752</v>
      </c>
      <c r="T33" s="167">
        <f t="shared" si="4"/>
        <v>0</v>
      </c>
      <c r="U33" s="167">
        <f t="shared" si="5"/>
        <v>0.7006826925599999</v>
      </c>
      <c r="V33" s="167">
        <f t="shared" si="6"/>
        <v>1.63492628264</v>
      </c>
      <c r="W33" s="167">
        <f t="shared" si="7"/>
        <v>0</v>
      </c>
    </row>
    <row r="34" spans="1:23" s="165" customFormat="1" ht="18.75">
      <c r="A34" s="137" t="s">
        <v>164</v>
      </c>
      <c r="B34" s="234" t="s">
        <v>56</v>
      </c>
      <c r="C34" s="269"/>
      <c r="D34" s="251">
        <f>D36+D35</f>
        <v>6.372</v>
      </c>
      <c r="E34" s="176">
        <f>E36+E35</f>
        <v>0</v>
      </c>
      <c r="F34" s="176">
        <f>F36+F35+F37</f>
        <v>1.9116</v>
      </c>
      <c r="G34" s="176">
        <f>G36+G35</f>
        <v>4.4604</v>
      </c>
      <c r="H34" s="176">
        <f>H36+H35</f>
        <v>0</v>
      </c>
      <c r="I34" s="176">
        <f aca="true" t="shared" si="10" ref="I34:R34">I36+I35+I37</f>
        <v>0.051919999999999994</v>
      </c>
      <c r="J34" s="176">
        <f t="shared" si="10"/>
        <v>0</v>
      </c>
      <c r="K34" s="176">
        <f t="shared" si="10"/>
        <v>0.015575999999999998</v>
      </c>
      <c r="L34" s="176">
        <f t="shared" si="10"/>
        <v>0.036343999999999994</v>
      </c>
      <c r="M34" s="176">
        <f t="shared" si="10"/>
        <v>0</v>
      </c>
      <c r="N34" s="176">
        <f t="shared" si="10"/>
        <v>-6.32008</v>
      </c>
      <c r="O34" s="176">
        <f t="shared" si="10"/>
        <v>0</v>
      </c>
      <c r="P34" s="176">
        <f t="shared" si="10"/>
        <v>-1.896024</v>
      </c>
      <c r="Q34" s="176">
        <f t="shared" si="10"/>
        <v>-4.424056</v>
      </c>
      <c r="R34" s="176">
        <f t="shared" si="10"/>
        <v>0</v>
      </c>
      <c r="S34" s="167">
        <f t="shared" si="3"/>
        <v>0.051919999999999994</v>
      </c>
      <c r="T34" s="167">
        <f t="shared" si="4"/>
        <v>0</v>
      </c>
      <c r="U34" s="167">
        <f t="shared" si="5"/>
        <v>0.015575999999999998</v>
      </c>
      <c r="V34" s="167">
        <f t="shared" si="6"/>
        <v>0.036343999999999994</v>
      </c>
      <c r="W34" s="167">
        <f t="shared" si="7"/>
        <v>0</v>
      </c>
    </row>
    <row r="35" spans="1:23" ht="31.5">
      <c r="A35" s="45" t="s">
        <v>57</v>
      </c>
      <c r="B35" s="228" t="s">
        <v>61</v>
      </c>
      <c r="C35" s="268"/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71">
        <v>0</v>
      </c>
      <c r="J35" s="167">
        <v>0</v>
      </c>
      <c r="K35" s="177">
        <f>I35*0.3</f>
        <v>0</v>
      </c>
      <c r="L35" s="177">
        <f>I35-K35</f>
        <v>0</v>
      </c>
      <c r="M35" s="167">
        <v>0</v>
      </c>
      <c r="N35" s="177">
        <f>I35-D35</f>
        <v>0</v>
      </c>
      <c r="O35" s="167">
        <f>J35-E35</f>
        <v>0</v>
      </c>
      <c r="P35" s="177">
        <f>K35-F35</f>
        <v>0</v>
      </c>
      <c r="Q35" s="177">
        <f>L35-G35</f>
        <v>0</v>
      </c>
      <c r="R35" s="177">
        <f>M35-H35</f>
        <v>0</v>
      </c>
      <c r="S35" s="167">
        <f t="shared" si="3"/>
        <v>0</v>
      </c>
      <c r="T35" s="167">
        <f t="shared" si="4"/>
        <v>0</v>
      </c>
      <c r="U35" s="167">
        <f t="shared" si="5"/>
        <v>0</v>
      </c>
      <c r="V35" s="167">
        <f t="shared" si="6"/>
        <v>0</v>
      </c>
      <c r="W35" s="167">
        <f t="shared" si="7"/>
        <v>0</v>
      </c>
    </row>
    <row r="36" spans="1:23" ht="18.75">
      <c r="A36" s="137" t="s">
        <v>60</v>
      </c>
      <c r="B36" s="228" t="s">
        <v>58</v>
      </c>
      <c r="C36" s="268"/>
      <c r="D36" s="167">
        <v>6.372</v>
      </c>
      <c r="E36" s="167">
        <v>0</v>
      </c>
      <c r="F36" s="167">
        <v>1.9116</v>
      </c>
      <c r="G36" s="167">
        <v>4.4604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-6.372</v>
      </c>
      <c r="O36" s="167">
        <v>0</v>
      </c>
      <c r="P36" s="167">
        <v>-1.9116</v>
      </c>
      <c r="Q36" s="167">
        <v>-4.4604</v>
      </c>
      <c r="R36" s="167">
        <v>0</v>
      </c>
      <c r="S36" s="167">
        <f t="shared" si="3"/>
        <v>0</v>
      </c>
      <c r="T36" s="167">
        <f t="shared" si="4"/>
        <v>0</v>
      </c>
      <c r="U36" s="167">
        <f t="shared" si="5"/>
        <v>0</v>
      </c>
      <c r="V36" s="167">
        <f t="shared" si="6"/>
        <v>0</v>
      </c>
      <c r="W36" s="167">
        <f t="shared" si="7"/>
        <v>0</v>
      </c>
    </row>
    <row r="37" spans="1:23" ht="31.5">
      <c r="A37" s="137"/>
      <c r="B37" s="233" t="s">
        <v>61</v>
      </c>
      <c r="C37" s="268"/>
      <c r="D37" s="167">
        <v>0</v>
      </c>
      <c r="E37" s="167">
        <v>0</v>
      </c>
      <c r="F37" s="167">
        <v>0</v>
      </c>
      <c r="G37" s="167">
        <v>0</v>
      </c>
      <c r="H37" s="167">
        <v>0</v>
      </c>
      <c r="I37" s="167">
        <f>22000*2/1000000*1.18</f>
        <v>0.051919999999999994</v>
      </c>
      <c r="J37" s="167">
        <v>0</v>
      </c>
      <c r="K37" s="167">
        <f>I37*0.3</f>
        <v>0.015575999999999998</v>
      </c>
      <c r="L37" s="167">
        <f>I37-K37</f>
        <v>0.036343999999999994</v>
      </c>
      <c r="M37" s="167">
        <v>0</v>
      </c>
      <c r="N37" s="177">
        <f>I37-D37</f>
        <v>0.051919999999999994</v>
      </c>
      <c r="O37" s="167">
        <f>J37-E37</f>
        <v>0</v>
      </c>
      <c r="P37" s="177">
        <f>K37-F37</f>
        <v>0.015575999999999998</v>
      </c>
      <c r="Q37" s="177">
        <f>L37-G37</f>
        <v>0.036343999999999994</v>
      </c>
      <c r="R37" s="177">
        <f>M37-H37</f>
        <v>0</v>
      </c>
      <c r="S37" s="167">
        <f t="shared" si="3"/>
        <v>0.051919999999999994</v>
      </c>
      <c r="T37" s="167">
        <f t="shared" si="4"/>
        <v>0</v>
      </c>
      <c r="U37" s="167">
        <f t="shared" si="5"/>
        <v>0.015575999999999998</v>
      </c>
      <c r="V37" s="167">
        <f t="shared" si="6"/>
        <v>0.036343999999999994</v>
      </c>
      <c r="W37" s="167">
        <f t="shared" si="7"/>
        <v>0</v>
      </c>
    </row>
    <row r="38" spans="1:23" ht="18.75">
      <c r="A38" s="49" t="s">
        <v>62</v>
      </c>
      <c r="B38" s="234" t="s">
        <v>223</v>
      </c>
      <c r="C38" s="268"/>
      <c r="D38" s="178">
        <f aca="true" t="shared" si="11" ref="D38:R38">SUM(D39:D58)</f>
        <v>8.017928579040001</v>
      </c>
      <c r="E38" s="178">
        <f t="shared" si="11"/>
        <v>0</v>
      </c>
      <c r="F38" s="178">
        <f t="shared" si="11"/>
        <v>2.405378573712</v>
      </c>
      <c r="G38" s="178">
        <f t="shared" si="11"/>
        <v>5.612550005327999</v>
      </c>
      <c r="H38" s="178">
        <f t="shared" si="11"/>
        <v>0</v>
      </c>
      <c r="I38" s="178">
        <f t="shared" si="11"/>
        <v>0.1483197696</v>
      </c>
      <c r="J38" s="178">
        <f t="shared" si="11"/>
        <v>0</v>
      </c>
      <c r="K38" s="178">
        <f t="shared" si="11"/>
        <v>0.04449593088</v>
      </c>
      <c r="L38" s="178">
        <f t="shared" si="11"/>
        <v>0.10382383872</v>
      </c>
      <c r="M38" s="178">
        <f t="shared" si="11"/>
        <v>0</v>
      </c>
      <c r="N38" s="178">
        <f t="shared" si="11"/>
        <v>-7.869608809440001</v>
      </c>
      <c r="O38" s="178">
        <f t="shared" si="11"/>
        <v>0</v>
      </c>
      <c r="P38" s="178">
        <f t="shared" si="11"/>
        <v>-2.360882642832</v>
      </c>
      <c r="Q38" s="178">
        <f t="shared" si="11"/>
        <v>-5.508726166608</v>
      </c>
      <c r="R38" s="178">
        <f t="shared" si="11"/>
        <v>0</v>
      </c>
      <c r="S38" s="167">
        <f t="shared" si="3"/>
        <v>0.1483197696</v>
      </c>
      <c r="T38" s="167">
        <f t="shared" si="4"/>
        <v>0</v>
      </c>
      <c r="U38" s="167">
        <f t="shared" si="5"/>
        <v>0.04449593088</v>
      </c>
      <c r="V38" s="167">
        <f t="shared" si="6"/>
        <v>0.10382383872</v>
      </c>
      <c r="W38" s="167">
        <f t="shared" si="7"/>
        <v>0</v>
      </c>
    </row>
    <row r="39" spans="1:23" ht="18.75">
      <c r="A39" s="45" t="s">
        <v>197</v>
      </c>
      <c r="B39" s="228" t="s">
        <v>86</v>
      </c>
      <c r="C39" s="268"/>
      <c r="D39" s="167">
        <v>0.944</v>
      </c>
      <c r="E39" s="167">
        <v>0</v>
      </c>
      <c r="F39" s="167">
        <v>0.28319999999999995</v>
      </c>
      <c r="G39" s="167">
        <v>0.6608</v>
      </c>
      <c r="H39" s="167">
        <v>0</v>
      </c>
      <c r="I39" s="179">
        <v>0</v>
      </c>
      <c r="J39" s="179">
        <v>0</v>
      </c>
      <c r="K39" s="179">
        <v>0</v>
      </c>
      <c r="L39" s="179">
        <v>0</v>
      </c>
      <c r="M39" s="167">
        <v>0</v>
      </c>
      <c r="N39" s="167">
        <f aca="true" t="shared" si="12" ref="N39:N49">I39-D39</f>
        <v>-0.944</v>
      </c>
      <c r="O39" s="167">
        <f aca="true" t="shared" si="13" ref="O39:O49">J39-E39</f>
        <v>0</v>
      </c>
      <c r="P39" s="167">
        <f aca="true" t="shared" si="14" ref="P39:P49">K39-F39</f>
        <v>-0.28319999999999995</v>
      </c>
      <c r="Q39" s="167">
        <f aca="true" t="shared" si="15" ref="Q39:Q49">L39-G39</f>
        <v>-0.6608</v>
      </c>
      <c r="R39" s="167">
        <f aca="true" t="shared" si="16" ref="R39:R49">M39-H39</f>
        <v>0</v>
      </c>
      <c r="S39" s="167">
        <f t="shared" si="3"/>
        <v>0</v>
      </c>
      <c r="T39" s="167">
        <f t="shared" si="4"/>
        <v>0</v>
      </c>
      <c r="U39" s="167">
        <f t="shared" si="5"/>
        <v>0</v>
      </c>
      <c r="V39" s="167">
        <f t="shared" si="6"/>
        <v>0</v>
      </c>
      <c r="W39" s="167">
        <f t="shared" si="7"/>
        <v>0</v>
      </c>
    </row>
    <row r="40" spans="1:23" ht="18.75">
      <c r="A40" s="45" t="s">
        <v>198</v>
      </c>
      <c r="B40" s="228" t="s">
        <v>88</v>
      </c>
      <c r="C40" s="268"/>
      <c r="D40" s="167">
        <v>4.2952</v>
      </c>
      <c r="E40" s="167">
        <v>0</v>
      </c>
      <c r="F40" s="167">
        <v>1.2885600000000001</v>
      </c>
      <c r="G40" s="167">
        <v>3.00664</v>
      </c>
      <c r="H40" s="167">
        <v>0</v>
      </c>
      <c r="I40" s="179">
        <v>0</v>
      </c>
      <c r="J40" s="179">
        <v>0</v>
      </c>
      <c r="K40" s="179">
        <v>0</v>
      </c>
      <c r="L40" s="179">
        <v>0</v>
      </c>
      <c r="M40" s="167">
        <v>0</v>
      </c>
      <c r="N40" s="167">
        <f t="shared" si="12"/>
        <v>-4.2952</v>
      </c>
      <c r="O40" s="167">
        <f t="shared" si="13"/>
        <v>0</v>
      </c>
      <c r="P40" s="167">
        <f t="shared" si="14"/>
        <v>-1.2885600000000001</v>
      </c>
      <c r="Q40" s="167">
        <f t="shared" si="15"/>
        <v>-3.00664</v>
      </c>
      <c r="R40" s="167">
        <f t="shared" si="16"/>
        <v>0</v>
      </c>
      <c r="S40" s="167">
        <f t="shared" si="3"/>
        <v>0</v>
      </c>
      <c r="T40" s="167">
        <f t="shared" si="4"/>
        <v>0</v>
      </c>
      <c r="U40" s="167">
        <f t="shared" si="5"/>
        <v>0</v>
      </c>
      <c r="V40" s="167">
        <f t="shared" si="6"/>
        <v>0</v>
      </c>
      <c r="W40" s="167">
        <f t="shared" si="7"/>
        <v>0</v>
      </c>
    </row>
    <row r="41" spans="1:23" ht="18.75">
      <c r="A41" s="45" t="s">
        <v>199</v>
      </c>
      <c r="B41" s="228" t="s">
        <v>68</v>
      </c>
      <c r="C41" s="268"/>
      <c r="D41" s="177">
        <v>0</v>
      </c>
      <c r="E41" s="167">
        <v>0</v>
      </c>
      <c r="F41" s="167">
        <f aca="true" t="shared" si="17" ref="F41:F49">D41*0.3</f>
        <v>0</v>
      </c>
      <c r="G41" s="167">
        <f aca="true" t="shared" si="18" ref="G41:G49">D41-F41</f>
        <v>0</v>
      </c>
      <c r="H41" s="167">
        <v>0</v>
      </c>
      <c r="I41" s="179">
        <v>0</v>
      </c>
      <c r="J41" s="179">
        <v>0</v>
      </c>
      <c r="K41" s="179">
        <v>0</v>
      </c>
      <c r="L41" s="179">
        <v>0</v>
      </c>
      <c r="M41" s="167">
        <v>0</v>
      </c>
      <c r="N41" s="167">
        <f t="shared" si="12"/>
        <v>0</v>
      </c>
      <c r="O41" s="167">
        <f t="shared" si="13"/>
        <v>0</v>
      </c>
      <c r="P41" s="167">
        <f t="shared" si="14"/>
        <v>0</v>
      </c>
      <c r="Q41" s="167">
        <f t="shared" si="15"/>
        <v>0</v>
      </c>
      <c r="R41" s="167">
        <f t="shared" si="16"/>
        <v>0</v>
      </c>
      <c r="S41" s="167">
        <f t="shared" si="3"/>
        <v>0</v>
      </c>
      <c r="T41" s="167">
        <f t="shared" si="4"/>
        <v>0</v>
      </c>
      <c r="U41" s="167">
        <f t="shared" si="5"/>
        <v>0</v>
      </c>
      <c r="V41" s="167">
        <f t="shared" si="6"/>
        <v>0</v>
      </c>
      <c r="W41" s="167">
        <f t="shared" si="7"/>
        <v>0</v>
      </c>
    </row>
    <row r="42" spans="1:23" ht="18.75">
      <c r="A42" s="45" t="s">
        <v>200</v>
      </c>
      <c r="B42" s="228" t="s">
        <v>70</v>
      </c>
      <c r="C42" s="268"/>
      <c r="D42" s="177">
        <v>0</v>
      </c>
      <c r="E42" s="167">
        <v>0</v>
      </c>
      <c r="F42" s="167">
        <f t="shared" si="17"/>
        <v>0</v>
      </c>
      <c r="G42" s="167">
        <f t="shared" si="18"/>
        <v>0</v>
      </c>
      <c r="H42" s="167">
        <v>0</v>
      </c>
      <c r="I42" s="179">
        <v>0</v>
      </c>
      <c r="J42" s="179">
        <v>0</v>
      </c>
      <c r="K42" s="179">
        <v>0</v>
      </c>
      <c r="L42" s="179">
        <v>0</v>
      </c>
      <c r="M42" s="167">
        <v>0</v>
      </c>
      <c r="N42" s="167">
        <f t="shared" si="12"/>
        <v>0</v>
      </c>
      <c r="O42" s="167">
        <f t="shared" si="13"/>
        <v>0</v>
      </c>
      <c r="P42" s="167">
        <f t="shared" si="14"/>
        <v>0</v>
      </c>
      <c r="Q42" s="167">
        <f t="shared" si="15"/>
        <v>0</v>
      </c>
      <c r="R42" s="167">
        <f t="shared" si="16"/>
        <v>0</v>
      </c>
      <c r="S42" s="167">
        <f t="shared" si="3"/>
        <v>0</v>
      </c>
      <c r="T42" s="167">
        <f t="shared" si="4"/>
        <v>0</v>
      </c>
      <c r="U42" s="167">
        <f t="shared" si="5"/>
        <v>0</v>
      </c>
      <c r="V42" s="167">
        <f t="shared" si="6"/>
        <v>0</v>
      </c>
      <c r="W42" s="167">
        <f t="shared" si="7"/>
        <v>0</v>
      </c>
    </row>
    <row r="43" spans="1:23" ht="18.75">
      <c r="A43" s="45" t="s">
        <v>201</v>
      </c>
      <c r="B43" s="228" t="s">
        <v>72</v>
      </c>
      <c r="C43" s="268"/>
      <c r="D43" s="177">
        <v>0</v>
      </c>
      <c r="E43" s="167">
        <v>0</v>
      </c>
      <c r="F43" s="167">
        <f t="shared" si="17"/>
        <v>0</v>
      </c>
      <c r="G43" s="167">
        <f t="shared" si="18"/>
        <v>0</v>
      </c>
      <c r="H43" s="167">
        <v>0</v>
      </c>
      <c r="I43" s="179">
        <v>0</v>
      </c>
      <c r="J43" s="179">
        <v>0</v>
      </c>
      <c r="K43" s="179">
        <v>0</v>
      </c>
      <c r="L43" s="179">
        <v>0</v>
      </c>
      <c r="M43" s="167">
        <v>0</v>
      </c>
      <c r="N43" s="167">
        <f t="shared" si="12"/>
        <v>0</v>
      </c>
      <c r="O43" s="167">
        <f t="shared" si="13"/>
        <v>0</v>
      </c>
      <c r="P43" s="167">
        <f t="shared" si="14"/>
        <v>0</v>
      </c>
      <c r="Q43" s="167">
        <f t="shared" si="15"/>
        <v>0</v>
      </c>
      <c r="R43" s="167">
        <f t="shared" si="16"/>
        <v>0</v>
      </c>
      <c r="S43" s="167">
        <f t="shared" si="3"/>
        <v>0</v>
      </c>
      <c r="T43" s="167">
        <f t="shared" si="4"/>
        <v>0</v>
      </c>
      <c r="U43" s="167">
        <f t="shared" si="5"/>
        <v>0</v>
      </c>
      <c r="V43" s="167">
        <f t="shared" si="6"/>
        <v>0</v>
      </c>
      <c r="W43" s="167">
        <f t="shared" si="7"/>
        <v>0</v>
      </c>
    </row>
    <row r="44" spans="1:23" ht="18.75">
      <c r="A44" s="45" t="s">
        <v>202</v>
      </c>
      <c r="B44" s="228" t="s">
        <v>74</v>
      </c>
      <c r="C44" s="268"/>
      <c r="D44" s="177">
        <v>0</v>
      </c>
      <c r="E44" s="167">
        <v>0</v>
      </c>
      <c r="F44" s="167">
        <f t="shared" si="17"/>
        <v>0</v>
      </c>
      <c r="G44" s="167">
        <f t="shared" si="18"/>
        <v>0</v>
      </c>
      <c r="H44" s="167">
        <v>0</v>
      </c>
      <c r="I44" s="179">
        <v>0</v>
      </c>
      <c r="J44" s="179">
        <v>0</v>
      </c>
      <c r="K44" s="179">
        <v>0</v>
      </c>
      <c r="L44" s="179">
        <v>0</v>
      </c>
      <c r="M44" s="167">
        <v>0</v>
      </c>
      <c r="N44" s="167">
        <f t="shared" si="12"/>
        <v>0</v>
      </c>
      <c r="O44" s="167">
        <f t="shared" si="13"/>
        <v>0</v>
      </c>
      <c r="P44" s="167">
        <f t="shared" si="14"/>
        <v>0</v>
      </c>
      <c r="Q44" s="167">
        <f t="shared" si="15"/>
        <v>0</v>
      </c>
      <c r="R44" s="167">
        <f t="shared" si="16"/>
        <v>0</v>
      </c>
      <c r="S44" s="167">
        <f t="shared" si="3"/>
        <v>0</v>
      </c>
      <c r="T44" s="167">
        <f t="shared" si="4"/>
        <v>0</v>
      </c>
      <c r="U44" s="167">
        <f t="shared" si="5"/>
        <v>0</v>
      </c>
      <c r="V44" s="167">
        <f t="shared" si="6"/>
        <v>0</v>
      </c>
      <c r="W44" s="167">
        <f t="shared" si="7"/>
        <v>0</v>
      </c>
    </row>
    <row r="45" spans="1:23" ht="18.75">
      <c r="A45" s="45" t="s">
        <v>203</v>
      </c>
      <c r="B45" s="228" t="s">
        <v>76</v>
      </c>
      <c r="C45" s="268"/>
      <c r="D45" s="177">
        <v>0</v>
      </c>
      <c r="E45" s="167">
        <v>0</v>
      </c>
      <c r="F45" s="167">
        <f t="shared" si="17"/>
        <v>0</v>
      </c>
      <c r="G45" s="167">
        <f t="shared" si="18"/>
        <v>0</v>
      </c>
      <c r="H45" s="167">
        <v>0</v>
      </c>
      <c r="I45" s="179">
        <v>0</v>
      </c>
      <c r="J45" s="179">
        <v>0</v>
      </c>
      <c r="K45" s="179">
        <v>0</v>
      </c>
      <c r="L45" s="179">
        <v>0</v>
      </c>
      <c r="M45" s="167">
        <v>0</v>
      </c>
      <c r="N45" s="167">
        <f t="shared" si="12"/>
        <v>0</v>
      </c>
      <c r="O45" s="167">
        <f t="shared" si="13"/>
        <v>0</v>
      </c>
      <c r="P45" s="167">
        <f t="shared" si="14"/>
        <v>0</v>
      </c>
      <c r="Q45" s="167">
        <f t="shared" si="15"/>
        <v>0</v>
      </c>
      <c r="R45" s="167">
        <f t="shared" si="16"/>
        <v>0</v>
      </c>
      <c r="S45" s="167">
        <f t="shared" si="3"/>
        <v>0</v>
      </c>
      <c r="T45" s="167">
        <f t="shared" si="4"/>
        <v>0</v>
      </c>
      <c r="U45" s="167">
        <f t="shared" si="5"/>
        <v>0</v>
      </c>
      <c r="V45" s="167">
        <f t="shared" si="6"/>
        <v>0</v>
      </c>
      <c r="W45" s="167">
        <f t="shared" si="7"/>
        <v>0</v>
      </c>
    </row>
    <row r="46" spans="1:23" ht="18.75">
      <c r="A46" s="45" t="s">
        <v>204</v>
      </c>
      <c r="B46" s="228" t="s">
        <v>78</v>
      </c>
      <c r="C46" s="268"/>
      <c r="D46" s="177">
        <v>0</v>
      </c>
      <c r="E46" s="167">
        <v>0</v>
      </c>
      <c r="F46" s="167">
        <f t="shared" si="17"/>
        <v>0</v>
      </c>
      <c r="G46" s="167">
        <f t="shared" si="18"/>
        <v>0</v>
      </c>
      <c r="H46" s="167">
        <v>0</v>
      </c>
      <c r="I46" s="179">
        <v>0</v>
      </c>
      <c r="J46" s="179">
        <v>0</v>
      </c>
      <c r="K46" s="179">
        <v>0</v>
      </c>
      <c r="L46" s="179">
        <v>0</v>
      </c>
      <c r="M46" s="167">
        <v>0</v>
      </c>
      <c r="N46" s="167">
        <f t="shared" si="12"/>
        <v>0</v>
      </c>
      <c r="O46" s="167">
        <f t="shared" si="13"/>
        <v>0</v>
      </c>
      <c r="P46" s="167">
        <f t="shared" si="14"/>
        <v>0</v>
      </c>
      <c r="Q46" s="167">
        <f t="shared" si="15"/>
        <v>0</v>
      </c>
      <c r="R46" s="167">
        <f t="shared" si="16"/>
        <v>0</v>
      </c>
      <c r="S46" s="167">
        <f t="shared" si="3"/>
        <v>0</v>
      </c>
      <c r="T46" s="167">
        <f t="shared" si="4"/>
        <v>0</v>
      </c>
      <c r="U46" s="167">
        <f t="shared" si="5"/>
        <v>0</v>
      </c>
      <c r="V46" s="167">
        <f t="shared" si="6"/>
        <v>0</v>
      </c>
      <c r="W46" s="167">
        <f t="shared" si="7"/>
        <v>0</v>
      </c>
    </row>
    <row r="47" spans="1:23" ht="18.75">
      <c r="A47" s="45" t="s">
        <v>205</v>
      </c>
      <c r="B47" s="228" t="s">
        <v>80</v>
      </c>
      <c r="C47" s="268"/>
      <c r="D47" s="177">
        <v>0</v>
      </c>
      <c r="E47" s="167">
        <v>0</v>
      </c>
      <c r="F47" s="167">
        <f t="shared" si="17"/>
        <v>0</v>
      </c>
      <c r="G47" s="167">
        <f t="shared" si="18"/>
        <v>0</v>
      </c>
      <c r="H47" s="167">
        <v>0</v>
      </c>
      <c r="I47" s="179">
        <v>0</v>
      </c>
      <c r="J47" s="179">
        <v>0</v>
      </c>
      <c r="K47" s="179">
        <v>0</v>
      </c>
      <c r="L47" s="179">
        <v>0</v>
      </c>
      <c r="M47" s="167">
        <v>0</v>
      </c>
      <c r="N47" s="167">
        <f t="shared" si="12"/>
        <v>0</v>
      </c>
      <c r="O47" s="167">
        <f t="shared" si="13"/>
        <v>0</v>
      </c>
      <c r="P47" s="167">
        <f t="shared" si="14"/>
        <v>0</v>
      </c>
      <c r="Q47" s="167">
        <f t="shared" si="15"/>
        <v>0</v>
      </c>
      <c r="R47" s="167">
        <f t="shared" si="16"/>
        <v>0</v>
      </c>
      <c r="S47" s="167">
        <f t="shared" si="3"/>
        <v>0</v>
      </c>
      <c r="T47" s="167">
        <f t="shared" si="4"/>
        <v>0</v>
      </c>
      <c r="U47" s="167">
        <f t="shared" si="5"/>
        <v>0</v>
      </c>
      <c r="V47" s="167">
        <f t="shared" si="6"/>
        <v>0</v>
      </c>
      <c r="W47" s="167">
        <f t="shared" si="7"/>
        <v>0</v>
      </c>
    </row>
    <row r="48" spans="1:23" ht="18.75">
      <c r="A48" s="45" t="s">
        <v>198</v>
      </c>
      <c r="B48" s="228" t="s">
        <v>82</v>
      </c>
      <c r="C48" s="268"/>
      <c r="D48" s="177">
        <v>0</v>
      </c>
      <c r="E48" s="167">
        <v>0</v>
      </c>
      <c r="F48" s="167">
        <f t="shared" si="17"/>
        <v>0</v>
      </c>
      <c r="G48" s="167">
        <f t="shared" si="18"/>
        <v>0</v>
      </c>
      <c r="H48" s="167">
        <v>0</v>
      </c>
      <c r="I48" s="179">
        <v>0</v>
      </c>
      <c r="J48" s="179">
        <v>0</v>
      </c>
      <c r="K48" s="179">
        <v>0</v>
      </c>
      <c r="L48" s="179">
        <v>0</v>
      </c>
      <c r="M48" s="167">
        <v>0</v>
      </c>
      <c r="N48" s="167">
        <f t="shared" si="12"/>
        <v>0</v>
      </c>
      <c r="O48" s="167">
        <f t="shared" si="13"/>
        <v>0</v>
      </c>
      <c r="P48" s="167">
        <f t="shared" si="14"/>
        <v>0</v>
      </c>
      <c r="Q48" s="167">
        <f t="shared" si="15"/>
        <v>0</v>
      </c>
      <c r="R48" s="167">
        <f t="shared" si="16"/>
        <v>0</v>
      </c>
      <c r="S48" s="167">
        <f t="shared" si="3"/>
        <v>0</v>
      </c>
      <c r="T48" s="167">
        <f t="shared" si="4"/>
        <v>0</v>
      </c>
      <c r="U48" s="167">
        <f t="shared" si="5"/>
        <v>0</v>
      </c>
      <c r="V48" s="167">
        <f t="shared" si="6"/>
        <v>0</v>
      </c>
      <c r="W48" s="167">
        <f t="shared" si="7"/>
        <v>0</v>
      </c>
    </row>
    <row r="49" spans="1:23" ht="31.5">
      <c r="A49" s="45"/>
      <c r="B49" s="228" t="s">
        <v>84</v>
      </c>
      <c r="C49" s="268"/>
      <c r="D49" s="177">
        <v>0</v>
      </c>
      <c r="E49" s="167">
        <v>0</v>
      </c>
      <c r="F49" s="167">
        <f t="shared" si="17"/>
        <v>0</v>
      </c>
      <c r="G49" s="167">
        <f t="shared" si="18"/>
        <v>0</v>
      </c>
      <c r="H49" s="167">
        <v>0</v>
      </c>
      <c r="I49" s="171">
        <f>125.69472/1000*1.18</f>
        <v>0.1483197696</v>
      </c>
      <c r="J49" s="179">
        <v>0</v>
      </c>
      <c r="K49" s="179">
        <f>I49*0.3</f>
        <v>0.04449593088</v>
      </c>
      <c r="L49" s="179">
        <f>I49-K49</f>
        <v>0.10382383872</v>
      </c>
      <c r="M49" s="167">
        <v>0</v>
      </c>
      <c r="N49" s="167">
        <f t="shared" si="12"/>
        <v>0.1483197696</v>
      </c>
      <c r="O49" s="167">
        <f t="shared" si="13"/>
        <v>0</v>
      </c>
      <c r="P49" s="167">
        <f t="shared" si="14"/>
        <v>0.04449593088</v>
      </c>
      <c r="Q49" s="167">
        <f t="shared" si="15"/>
        <v>0.10382383872</v>
      </c>
      <c r="R49" s="167">
        <f t="shared" si="16"/>
        <v>0</v>
      </c>
      <c r="S49" s="167">
        <f t="shared" si="3"/>
        <v>0.1483197696</v>
      </c>
      <c r="T49" s="167">
        <f t="shared" si="4"/>
        <v>0</v>
      </c>
      <c r="U49" s="167">
        <f t="shared" si="5"/>
        <v>0.04449593088</v>
      </c>
      <c r="V49" s="167">
        <f t="shared" si="6"/>
        <v>0.10382383872</v>
      </c>
      <c r="W49" s="167">
        <f t="shared" si="7"/>
        <v>0</v>
      </c>
    </row>
    <row r="50" spans="1:23" ht="18.75">
      <c r="A50" s="45"/>
      <c r="B50" s="233" t="s">
        <v>65</v>
      </c>
      <c r="C50" s="268"/>
      <c r="D50" s="177">
        <v>0.28258256736</v>
      </c>
      <c r="E50" s="167">
        <v>0</v>
      </c>
      <c r="F50" s="167">
        <v>0.08477477020799999</v>
      </c>
      <c r="G50" s="167">
        <v>0.19780779715199998</v>
      </c>
      <c r="H50" s="167">
        <v>0</v>
      </c>
      <c r="I50" s="171">
        <v>0</v>
      </c>
      <c r="J50" s="179">
        <v>0</v>
      </c>
      <c r="K50" s="179">
        <v>0</v>
      </c>
      <c r="L50" s="179">
        <v>0</v>
      </c>
      <c r="M50" s="167">
        <v>0</v>
      </c>
      <c r="N50" s="167">
        <f aca="true" t="shared" si="19" ref="N50:N58">I50-D50</f>
        <v>-0.28258256736</v>
      </c>
      <c r="O50" s="167">
        <f aca="true" t="shared" si="20" ref="O50:O58">J50-E50</f>
        <v>0</v>
      </c>
      <c r="P50" s="167">
        <f aca="true" t="shared" si="21" ref="P50:P58">K50-F50</f>
        <v>-0.08477477020799999</v>
      </c>
      <c r="Q50" s="167">
        <f aca="true" t="shared" si="22" ref="Q50:Q58">L50-G50</f>
        <v>-0.19780779715199998</v>
      </c>
      <c r="R50" s="167">
        <f aca="true" t="shared" si="23" ref="R50:R58">M50-H50</f>
        <v>0</v>
      </c>
      <c r="S50" s="167">
        <f t="shared" si="3"/>
        <v>0</v>
      </c>
      <c r="T50" s="167">
        <f t="shared" si="4"/>
        <v>0</v>
      </c>
      <c r="U50" s="167">
        <f t="shared" si="5"/>
        <v>0</v>
      </c>
      <c r="V50" s="167">
        <f t="shared" si="6"/>
        <v>0</v>
      </c>
      <c r="W50" s="167">
        <f t="shared" si="7"/>
        <v>0</v>
      </c>
    </row>
    <row r="51" spans="1:23" ht="18.75">
      <c r="A51" s="45"/>
      <c r="B51" s="233" t="s">
        <v>68</v>
      </c>
      <c r="C51" s="268"/>
      <c r="D51" s="177">
        <v>0.4709709456</v>
      </c>
      <c r="E51" s="167">
        <v>0</v>
      </c>
      <c r="F51" s="167">
        <v>0.14129128368</v>
      </c>
      <c r="G51" s="167">
        <v>0.32967966192000003</v>
      </c>
      <c r="H51" s="167">
        <v>0</v>
      </c>
      <c r="I51" s="171">
        <v>0</v>
      </c>
      <c r="J51" s="179">
        <v>0</v>
      </c>
      <c r="K51" s="179">
        <v>0</v>
      </c>
      <c r="L51" s="179">
        <v>0</v>
      </c>
      <c r="M51" s="167">
        <v>0</v>
      </c>
      <c r="N51" s="167">
        <f t="shared" si="19"/>
        <v>-0.4709709456</v>
      </c>
      <c r="O51" s="167">
        <f t="shared" si="20"/>
        <v>0</v>
      </c>
      <c r="P51" s="167">
        <f t="shared" si="21"/>
        <v>-0.14129128368</v>
      </c>
      <c r="Q51" s="167">
        <f t="shared" si="22"/>
        <v>-0.32967966192000003</v>
      </c>
      <c r="R51" s="167">
        <f t="shared" si="23"/>
        <v>0</v>
      </c>
      <c r="S51" s="167">
        <f t="shared" si="3"/>
        <v>0</v>
      </c>
      <c r="T51" s="167">
        <f t="shared" si="4"/>
        <v>0</v>
      </c>
      <c r="U51" s="167">
        <f t="shared" si="5"/>
        <v>0</v>
      </c>
      <c r="V51" s="167">
        <f t="shared" si="6"/>
        <v>0</v>
      </c>
      <c r="W51" s="167">
        <f t="shared" si="7"/>
        <v>0</v>
      </c>
    </row>
    <row r="52" spans="1:23" ht="18.75">
      <c r="A52" s="45"/>
      <c r="B52" s="233" t="s">
        <v>70</v>
      </c>
      <c r="C52" s="268"/>
      <c r="D52" s="177">
        <v>0.207227216064</v>
      </c>
      <c r="E52" s="167">
        <v>0</v>
      </c>
      <c r="F52" s="167">
        <v>0.0621681648192</v>
      </c>
      <c r="G52" s="167">
        <v>0.1450590512448</v>
      </c>
      <c r="H52" s="167">
        <v>0</v>
      </c>
      <c r="I52" s="171">
        <v>0</v>
      </c>
      <c r="J52" s="179">
        <v>0</v>
      </c>
      <c r="K52" s="179">
        <v>0</v>
      </c>
      <c r="L52" s="179">
        <v>0</v>
      </c>
      <c r="M52" s="167">
        <v>0</v>
      </c>
      <c r="N52" s="167">
        <f t="shared" si="19"/>
        <v>-0.207227216064</v>
      </c>
      <c r="O52" s="167">
        <f t="shared" si="20"/>
        <v>0</v>
      </c>
      <c r="P52" s="167">
        <f t="shared" si="21"/>
        <v>-0.0621681648192</v>
      </c>
      <c r="Q52" s="167">
        <f t="shared" si="22"/>
        <v>-0.1450590512448</v>
      </c>
      <c r="R52" s="167">
        <f t="shared" si="23"/>
        <v>0</v>
      </c>
      <c r="S52" s="167">
        <f t="shared" si="3"/>
        <v>0</v>
      </c>
      <c r="T52" s="167">
        <f t="shared" si="4"/>
        <v>0</v>
      </c>
      <c r="U52" s="167">
        <f t="shared" si="5"/>
        <v>0</v>
      </c>
      <c r="V52" s="167">
        <f t="shared" si="6"/>
        <v>0</v>
      </c>
      <c r="W52" s="167">
        <f t="shared" si="7"/>
        <v>0</v>
      </c>
    </row>
    <row r="53" spans="1:23" ht="18.75">
      <c r="A53" s="45"/>
      <c r="B53" s="233" t="s">
        <v>72</v>
      </c>
      <c r="C53" s="268"/>
      <c r="D53" s="177">
        <v>0.150710702592</v>
      </c>
      <c r="E53" s="167">
        <v>0</v>
      </c>
      <c r="F53" s="167">
        <v>0.0452132107776</v>
      </c>
      <c r="G53" s="167">
        <v>0.1054974918144</v>
      </c>
      <c r="H53" s="167">
        <v>0</v>
      </c>
      <c r="I53" s="171">
        <v>0</v>
      </c>
      <c r="J53" s="179">
        <v>0</v>
      </c>
      <c r="K53" s="179">
        <v>0</v>
      </c>
      <c r="L53" s="179">
        <v>0</v>
      </c>
      <c r="M53" s="167">
        <v>0</v>
      </c>
      <c r="N53" s="167">
        <f t="shared" si="19"/>
        <v>-0.150710702592</v>
      </c>
      <c r="O53" s="167">
        <f t="shared" si="20"/>
        <v>0</v>
      </c>
      <c r="P53" s="167">
        <f t="shared" si="21"/>
        <v>-0.0452132107776</v>
      </c>
      <c r="Q53" s="167">
        <f t="shared" si="22"/>
        <v>-0.1054974918144</v>
      </c>
      <c r="R53" s="167">
        <f t="shared" si="23"/>
        <v>0</v>
      </c>
      <c r="S53" s="167">
        <f t="shared" si="3"/>
        <v>0</v>
      </c>
      <c r="T53" s="167">
        <f t="shared" si="4"/>
        <v>0</v>
      </c>
      <c r="U53" s="167">
        <f t="shared" si="5"/>
        <v>0</v>
      </c>
      <c r="V53" s="167">
        <f t="shared" si="6"/>
        <v>0</v>
      </c>
      <c r="W53" s="167">
        <f t="shared" si="7"/>
        <v>0</v>
      </c>
    </row>
    <row r="54" spans="1:23" ht="18.75">
      <c r="A54" s="45"/>
      <c r="B54" s="233" t="s">
        <v>74</v>
      </c>
      <c r="C54" s="268"/>
      <c r="D54" s="177">
        <v>0.09419418912000001</v>
      </c>
      <c r="E54" s="167">
        <v>0</v>
      </c>
      <c r="F54" s="167">
        <v>0.028258256736</v>
      </c>
      <c r="G54" s="167">
        <v>0.065935932384</v>
      </c>
      <c r="H54" s="167">
        <v>0</v>
      </c>
      <c r="I54" s="171">
        <v>0</v>
      </c>
      <c r="J54" s="179">
        <v>0</v>
      </c>
      <c r="K54" s="179">
        <v>0</v>
      </c>
      <c r="L54" s="179">
        <v>0</v>
      </c>
      <c r="M54" s="167">
        <v>0</v>
      </c>
      <c r="N54" s="167">
        <f t="shared" si="19"/>
        <v>-0.09419418912000001</v>
      </c>
      <c r="O54" s="167">
        <f t="shared" si="20"/>
        <v>0</v>
      </c>
      <c r="P54" s="167">
        <f t="shared" si="21"/>
        <v>-0.028258256736</v>
      </c>
      <c r="Q54" s="167">
        <f t="shared" si="22"/>
        <v>-0.065935932384</v>
      </c>
      <c r="R54" s="167">
        <f t="shared" si="23"/>
        <v>0</v>
      </c>
      <c r="S54" s="167">
        <f t="shared" si="3"/>
        <v>0</v>
      </c>
      <c r="T54" s="167">
        <f t="shared" si="4"/>
        <v>0</v>
      </c>
      <c r="U54" s="167">
        <f t="shared" si="5"/>
        <v>0</v>
      </c>
      <c r="V54" s="167">
        <f t="shared" si="6"/>
        <v>0</v>
      </c>
      <c r="W54" s="167">
        <f t="shared" si="7"/>
        <v>0</v>
      </c>
    </row>
    <row r="55" spans="1:23" ht="18.75">
      <c r="A55" s="45"/>
      <c r="B55" s="233" t="s">
        <v>76</v>
      </c>
      <c r="C55" s="268"/>
      <c r="D55" s="177">
        <v>0.461551526688</v>
      </c>
      <c r="E55" s="167">
        <v>0</v>
      </c>
      <c r="F55" s="167">
        <v>0.13846545800639998</v>
      </c>
      <c r="G55" s="167">
        <v>0.3230860686816</v>
      </c>
      <c r="H55" s="167">
        <v>0</v>
      </c>
      <c r="I55" s="171">
        <v>0</v>
      </c>
      <c r="J55" s="179">
        <v>0</v>
      </c>
      <c r="K55" s="179">
        <v>0</v>
      </c>
      <c r="L55" s="179">
        <v>0</v>
      </c>
      <c r="M55" s="167">
        <v>0</v>
      </c>
      <c r="N55" s="167">
        <f t="shared" si="19"/>
        <v>-0.461551526688</v>
      </c>
      <c r="O55" s="167">
        <f t="shared" si="20"/>
        <v>0</v>
      </c>
      <c r="P55" s="167">
        <f t="shared" si="21"/>
        <v>-0.13846545800639998</v>
      </c>
      <c r="Q55" s="167">
        <f t="shared" si="22"/>
        <v>-0.3230860686816</v>
      </c>
      <c r="R55" s="167">
        <f t="shared" si="23"/>
        <v>0</v>
      </c>
      <c r="S55" s="167">
        <f t="shared" si="3"/>
        <v>0</v>
      </c>
      <c r="T55" s="167">
        <f t="shared" si="4"/>
        <v>0</v>
      </c>
      <c r="U55" s="167">
        <f t="shared" si="5"/>
        <v>0</v>
      </c>
      <c r="V55" s="167">
        <f t="shared" si="6"/>
        <v>0</v>
      </c>
      <c r="W55" s="167">
        <f t="shared" si="7"/>
        <v>0</v>
      </c>
    </row>
    <row r="56" spans="1:23" ht="18.75">
      <c r="A56" s="45"/>
      <c r="B56" s="233" t="s">
        <v>78</v>
      </c>
      <c r="C56" s="268"/>
      <c r="D56" s="177">
        <v>0.28258256736</v>
      </c>
      <c r="E56" s="167">
        <v>0</v>
      </c>
      <c r="F56" s="167">
        <v>0.08477477020799999</v>
      </c>
      <c r="G56" s="167">
        <v>0.19780779715199998</v>
      </c>
      <c r="H56" s="167">
        <v>0</v>
      </c>
      <c r="I56" s="171">
        <v>0</v>
      </c>
      <c r="J56" s="179">
        <v>0</v>
      </c>
      <c r="K56" s="179">
        <v>0</v>
      </c>
      <c r="L56" s="179">
        <v>0</v>
      </c>
      <c r="M56" s="167">
        <v>0</v>
      </c>
      <c r="N56" s="167">
        <f t="shared" si="19"/>
        <v>-0.28258256736</v>
      </c>
      <c r="O56" s="167">
        <f t="shared" si="20"/>
        <v>0</v>
      </c>
      <c r="P56" s="167">
        <f t="shared" si="21"/>
        <v>-0.08477477020799999</v>
      </c>
      <c r="Q56" s="167">
        <f t="shared" si="22"/>
        <v>-0.19780779715199998</v>
      </c>
      <c r="R56" s="167">
        <f t="shared" si="23"/>
        <v>0</v>
      </c>
      <c r="S56" s="167">
        <f t="shared" si="3"/>
        <v>0</v>
      </c>
      <c r="T56" s="167">
        <f t="shared" si="4"/>
        <v>0</v>
      </c>
      <c r="U56" s="167">
        <f t="shared" si="5"/>
        <v>0</v>
      </c>
      <c r="V56" s="167">
        <f t="shared" si="6"/>
        <v>0</v>
      </c>
      <c r="W56" s="167">
        <f t="shared" si="7"/>
        <v>0</v>
      </c>
    </row>
    <row r="57" spans="1:23" ht="18.75">
      <c r="A57" s="45"/>
      <c r="B57" s="233" t="s">
        <v>80</v>
      </c>
      <c r="C57" s="268"/>
      <c r="D57" s="177">
        <v>0.16954954041599998</v>
      </c>
      <c r="E57" s="167">
        <v>0</v>
      </c>
      <c r="F57" s="167">
        <v>0.050864862124799994</v>
      </c>
      <c r="G57" s="167">
        <v>0.1186846782912</v>
      </c>
      <c r="H57" s="167">
        <v>0</v>
      </c>
      <c r="I57" s="171">
        <v>0</v>
      </c>
      <c r="J57" s="179">
        <v>0</v>
      </c>
      <c r="K57" s="179">
        <v>0</v>
      </c>
      <c r="L57" s="179">
        <v>0</v>
      </c>
      <c r="M57" s="167">
        <v>0</v>
      </c>
      <c r="N57" s="167">
        <f t="shared" si="19"/>
        <v>-0.16954954041599998</v>
      </c>
      <c r="O57" s="167">
        <f t="shared" si="20"/>
        <v>0</v>
      </c>
      <c r="P57" s="167">
        <f t="shared" si="21"/>
        <v>-0.050864862124799994</v>
      </c>
      <c r="Q57" s="167">
        <f t="shared" si="22"/>
        <v>-0.1186846782912</v>
      </c>
      <c r="R57" s="167">
        <f t="shared" si="23"/>
        <v>0</v>
      </c>
      <c r="S57" s="167">
        <f t="shared" si="3"/>
        <v>0</v>
      </c>
      <c r="T57" s="167">
        <f t="shared" si="4"/>
        <v>0</v>
      </c>
      <c r="U57" s="167">
        <f t="shared" si="5"/>
        <v>0</v>
      </c>
      <c r="V57" s="167">
        <f t="shared" si="6"/>
        <v>0</v>
      </c>
      <c r="W57" s="167">
        <f t="shared" si="7"/>
        <v>0</v>
      </c>
    </row>
    <row r="58" spans="1:23" ht="18.75">
      <c r="A58" s="45"/>
      <c r="B58" s="233" t="s">
        <v>82</v>
      </c>
      <c r="C58" s="268"/>
      <c r="D58" s="177">
        <v>0.65935932384</v>
      </c>
      <c r="E58" s="167">
        <v>0</v>
      </c>
      <c r="F58" s="167">
        <v>0.19780779715199998</v>
      </c>
      <c r="G58" s="167">
        <v>0.461551526688</v>
      </c>
      <c r="H58" s="167">
        <v>0</v>
      </c>
      <c r="I58" s="171">
        <v>0</v>
      </c>
      <c r="J58" s="179">
        <v>0</v>
      </c>
      <c r="K58" s="179">
        <v>0</v>
      </c>
      <c r="L58" s="179">
        <v>0</v>
      </c>
      <c r="M58" s="167">
        <v>0</v>
      </c>
      <c r="N58" s="167">
        <f t="shared" si="19"/>
        <v>-0.65935932384</v>
      </c>
      <c r="O58" s="167">
        <f t="shared" si="20"/>
        <v>0</v>
      </c>
      <c r="P58" s="167">
        <f t="shared" si="21"/>
        <v>-0.19780779715199998</v>
      </c>
      <c r="Q58" s="167">
        <f t="shared" si="22"/>
        <v>-0.461551526688</v>
      </c>
      <c r="R58" s="167">
        <f t="shared" si="23"/>
        <v>0</v>
      </c>
      <c r="S58" s="167">
        <f t="shared" si="3"/>
        <v>0</v>
      </c>
      <c r="T58" s="167">
        <f t="shared" si="4"/>
        <v>0</v>
      </c>
      <c r="U58" s="167">
        <f t="shared" si="5"/>
        <v>0</v>
      </c>
      <c r="V58" s="167">
        <f t="shared" si="6"/>
        <v>0</v>
      </c>
      <c r="W58" s="167">
        <f t="shared" si="7"/>
        <v>0</v>
      </c>
    </row>
    <row r="59" spans="1:23" s="165" customFormat="1" ht="31.5">
      <c r="A59" s="49" t="s">
        <v>165</v>
      </c>
      <c r="B59" s="235" t="s">
        <v>90</v>
      </c>
      <c r="C59" s="269"/>
      <c r="D59" s="164">
        <f aca="true" t="shared" si="24" ref="D59:R59">SUM(D60:D64)</f>
        <v>0</v>
      </c>
      <c r="E59" s="164">
        <f t="shared" si="24"/>
        <v>0</v>
      </c>
      <c r="F59" s="164">
        <f t="shared" si="24"/>
        <v>0</v>
      </c>
      <c r="G59" s="164">
        <f t="shared" si="24"/>
        <v>0</v>
      </c>
      <c r="H59" s="164">
        <f t="shared" si="24"/>
        <v>0</v>
      </c>
      <c r="I59" s="164">
        <f t="shared" si="24"/>
        <v>1.9196780439999999</v>
      </c>
      <c r="J59" s="164">
        <f t="shared" si="24"/>
        <v>0</v>
      </c>
      <c r="K59" s="164">
        <f t="shared" si="24"/>
        <v>0.5759034131999999</v>
      </c>
      <c r="L59" s="164">
        <f t="shared" si="24"/>
        <v>1.3437746308</v>
      </c>
      <c r="M59" s="164">
        <f t="shared" si="24"/>
        <v>0</v>
      </c>
      <c r="N59" s="164">
        <f t="shared" si="24"/>
        <v>1.9196780439999999</v>
      </c>
      <c r="O59" s="164">
        <f t="shared" si="24"/>
        <v>0</v>
      </c>
      <c r="P59" s="164">
        <f t="shared" si="24"/>
        <v>0.5759034131999999</v>
      </c>
      <c r="Q59" s="164">
        <f t="shared" si="24"/>
        <v>1.3437746308</v>
      </c>
      <c r="R59" s="164">
        <f t="shared" si="24"/>
        <v>0</v>
      </c>
      <c r="S59" s="167">
        <f t="shared" si="3"/>
        <v>1.9196780439999999</v>
      </c>
      <c r="T59" s="167">
        <f t="shared" si="4"/>
        <v>0</v>
      </c>
      <c r="U59" s="167">
        <f t="shared" si="5"/>
        <v>0.5759034131999999</v>
      </c>
      <c r="V59" s="167">
        <f t="shared" si="6"/>
        <v>1.3437746308</v>
      </c>
      <c r="W59" s="167">
        <f t="shared" si="7"/>
        <v>0</v>
      </c>
    </row>
    <row r="60" spans="1:23" ht="18.75">
      <c r="A60" s="45" t="s">
        <v>166</v>
      </c>
      <c r="B60" s="236" t="s">
        <v>94</v>
      </c>
      <c r="C60" s="268"/>
      <c r="D60" s="167">
        <v>0</v>
      </c>
      <c r="E60" s="167">
        <v>0</v>
      </c>
      <c r="F60" s="167">
        <v>0</v>
      </c>
      <c r="G60" s="167">
        <v>0</v>
      </c>
      <c r="H60" s="167">
        <v>0</v>
      </c>
      <c r="I60" s="179">
        <f>0.0293495854+283.07948/1000*1.18</f>
        <v>0.36338337179999997</v>
      </c>
      <c r="J60" s="179">
        <v>0</v>
      </c>
      <c r="K60" s="167">
        <f>I60*0.3</f>
        <v>0.10901501153999998</v>
      </c>
      <c r="L60" s="167">
        <f>I60-K60</f>
        <v>0.25436836026</v>
      </c>
      <c r="M60" s="167">
        <v>0</v>
      </c>
      <c r="N60" s="167">
        <f aca="true" t="shared" si="25" ref="N60:R64">I60-D60</f>
        <v>0.36338337179999997</v>
      </c>
      <c r="O60" s="167">
        <f t="shared" si="25"/>
        <v>0</v>
      </c>
      <c r="P60" s="167">
        <f t="shared" si="25"/>
        <v>0.10901501153999998</v>
      </c>
      <c r="Q60" s="167">
        <f t="shared" si="25"/>
        <v>0.25436836026</v>
      </c>
      <c r="R60" s="167">
        <f t="shared" si="25"/>
        <v>0</v>
      </c>
      <c r="S60" s="167">
        <f t="shared" si="3"/>
        <v>0.36338337179999997</v>
      </c>
      <c r="T60" s="167">
        <f t="shared" si="4"/>
        <v>0</v>
      </c>
      <c r="U60" s="167">
        <f t="shared" si="5"/>
        <v>0.10901501153999998</v>
      </c>
      <c r="V60" s="167">
        <f t="shared" si="6"/>
        <v>0.25436836026</v>
      </c>
      <c r="W60" s="167">
        <f t="shared" si="7"/>
        <v>0</v>
      </c>
    </row>
    <row r="61" spans="1:23" ht="18.75">
      <c r="A61" s="45"/>
      <c r="B61" s="236" t="s">
        <v>97</v>
      </c>
      <c r="C61" s="268"/>
      <c r="D61" s="167">
        <v>0</v>
      </c>
      <c r="E61" s="167">
        <v>0</v>
      </c>
      <c r="F61" s="167">
        <v>0</v>
      </c>
      <c r="G61" s="167">
        <v>0</v>
      </c>
      <c r="H61" s="167">
        <v>0</v>
      </c>
      <c r="I61" s="171">
        <f>25.97433/1000*1.18</f>
        <v>0.030649709399999996</v>
      </c>
      <c r="J61" s="179">
        <v>0</v>
      </c>
      <c r="K61" s="167">
        <f>I61*0.3</f>
        <v>0.009194912819999998</v>
      </c>
      <c r="L61" s="167">
        <f>I61-K61</f>
        <v>0.021454796579999998</v>
      </c>
      <c r="M61" s="167">
        <v>0</v>
      </c>
      <c r="N61" s="167">
        <f t="shared" si="25"/>
        <v>0.030649709399999996</v>
      </c>
      <c r="O61" s="167">
        <f t="shared" si="25"/>
        <v>0</v>
      </c>
      <c r="P61" s="167">
        <f t="shared" si="25"/>
        <v>0.009194912819999998</v>
      </c>
      <c r="Q61" s="167">
        <f t="shared" si="25"/>
        <v>0.021454796579999998</v>
      </c>
      <c r="R61" s="167">
        <f t="shared" si="25"/>
        <v>0</v>
      </c>
      <c r="S61" s="167">
        <f t="shared" si="3"/>
        <v>0.030649709399999996</v>
      </c>
      <c r="T61" s="167">
        <f t="shared" si="4"/>
        <v>0</v>
      </c>
      <c r="U61" s="167">
        <f t="shared" si="5"/>
        <v>0.009194912819999998</v>
      </c>
      <c r="V61" s="167">
        <f t="shared" si="6"/>
        <v>0.021454796579999998</v>
      </c>
      <c r="W61" s="167">
        <f t="shared" si="7"/>
        <v>0</v>
      </c>
    </row>
    <row r="62" spans="1:23" ht="18.75">
      <c r="A62" s="45"/>
      <c r="B62" s="236" t="s">
        <v>99</v>
      </c>
      <c r="C62" s="268"/>
      <c r="D62" s="167">
        <v>0</v>
      </c>
      <c r="E62" s="167">
        <v>0</v>
      </c>
      <c r="F62" s="167">
        <v>0</v>
      </c>
      <c r="G62" s="167">
        <v>0</v>
      </c>
      <c r="H62" s="167">
        <v>0</v>
      </c>
      <c r="I62" s="171">
        <f>264.15481/1000*1.18</f>
        <v>0.3117026758</v>
      </c>
      <c r="J62" s="179">
        <v>0</v>
      </c>
      <c r="K62" s="167">
        <f>I62*0.3</f>
        <v>0.09351080274</v>
      </c>
      <c r="L62" s="167">
        <f>I62-K62</f>
        <v>0.21819187305999999</v>
      </c>
      <c r="M62" s="167">
        <v>0</v>
      </c>
      <c r="N62" s="167">
        <f t="shared" si="25"/>
        <v>0.3117026758</v>
      </c>
      <c r="O62" s="167">
        <f t="shared" si="25"/>
        <v>0</v>
      </c>
      <c r="P62" s="167">
        <f t="shared" si="25"/>
        <v>0.09351080274</v>
      </c>
      <c r="Q62" s="167">
        <f t="shared" si="25"/>
        <v>0.21819187305999999</v>
      </c>
      <c r="R62" s="167">
        <f t="shared" si="25"/>
        <v>0</v>
      </c>
      <c r="S62" s="167">
        <f t="shared" si="3"/>
        <v>0.3117026758</v>
      </c>
      <c r="T62" s="167">
        <f t="shared" si="4"/>
        <v>0</v>
      </c>
      <c r="U62" s="167">
        <f t="shared" si="5"/>
        <v>0.09351080274</v>
      </c>
      <c r="V62" s="167">
        <f t="shared" si="6"/>
        <v>0.21819187305999999</v>
      </c>
      <c r="W62" s="167">
        <f t="shared" si="7"/>
        <v>0</v>
      </c>
    </row>
    <row r="63" spans="1:23" ht="18.75">
      <c r="A63" s="45"/>
      <c r="B63" s="233" t="s">
        <v>91</v>
      </c>
      <c r="C63" s="161"/>
      <c r="D63" s="167">
        <v>0</v>
      </c>
      <c r="E63" s="167">
        <v>0</v>
      </c>
      <c r="F63" s="167">
        <v>0</v>
      </c>
      <c r="G63" s="167">
        <v>0</v>
      </c>
      <c r="H63" s="167">
        <v>0</v>
      </c>
      <c r="I63" s="179">
        <v>0.4047100044</v>
      </c>
      <c r="J63" s="167">
        <v>0</v>
      </c>
      <c r="K63" s="167">
        <v>0.12141300131999999</v>
      </c>
      <c r="L63" s="167">
        <v>0.28329700308</v>
      </c>
      <c r="M63" s="167">
        <v>0</v>
      </c>
      <c r="N63" s="167">
        <v>0.4047100044</v>
      </c>
      <c r="O63" s="167">
        <v>0</v>
      </c>
      <c r="P63" s="167">
        <v>0.12141300131999999</v>
      </c>
      <c r="Q63" s="167">
        <v>0.28329700308</v>
      </c>
      <c r="R63" s="167">
        <v>0</v>
      </c>
      <c r="S63" s="167">
        <f t="shared" si="3"/>
        <v>0.4047100044</v>
      </c>
      <c r="T63" s="167">
        <f t="shared" si="4"/>
        <v>0</v>
      </c>
      <c r="U63" s="167">
        <f t="shared" si="5"/>
        <v>0.12141300131999999</v>
      </c>
      <c r="V63" s="167">
        <f t="shared" si="6"/>
        <v>0.28329700308</v>
      </c>
      <c r="W63" s="167">
        <f t="shared" si="7"/>
        <v>0</v>
      </c>
    </row>
    <row r="64" spans="1:23" ht="18.75">
      <c r="A64" s="45"/>
      <c r="B64" s="233" t="s">
        <v>92</v>
      </c>
      <c r="C64" s="161"/>
      <c r="D64" s="167">
        <v>0</v>
      </c>
      <c r="E64" s="167">
        <v>0</v>
      </c>
      <c r="F64" s="167">
        <v>0</v>
      </c>
      <c r="G64" s="167">
        <v>0</v>
      </c>
      <c r="H64" s="167">
        <v>0</v>
      </c>
      <c r="I64" s="179">
        <f>0.01534+672790.07/1000000*1.18</f>
        <v>0.8092322825999999</v>
      </c>
      <c r="J64" s="276">
        <v>0</v>
      </c>
      <c r="K64" s="276">
        <f>I64*0.3</f>
        <v>0.24276968477999997</v>
      </c>
      <c r="L64" s="276">
        <f>I64-K64</f>
        <v>0.56646259782</v>
      </c>
      <c r="M64" s="276">
        <v>0</v>
      </c>
      <c r="N64" s="167">
        <f t="shared" si="25"/>
        <v>0.8092322825999999</v>
      </c>
      <c r="O64" s="167">
        <f>J64-E64</f>
        <v>0</v>
      </c>
      <c r="P64" s="167">
        <f>K64-F64</f>
        <v>0.24276968477999997</v>
      </c>
      <c r="Q64" s="167">
        <f>L64-G64</f>
        <v>0.56646259782</v>
      </c>
      <c r="R64" s="167">
        <f t="shared" si="25"/>
        <v>0</v>
      </c>
      <c r="S64" s="167">
        <f t="shared" si="3"/>
        <v>0.8092322825999999</v>
      </c>
      <c r="T64" s="167">
        <f t="shared" si="4"/>
        <v>0</v>
      </c>
      <c r="U64" s="167">
        <f t="shared" si="5"/>
        <v>0.24276968477999997</v>
      </c>
      <c r="V64" s="167">
        <f t="shared" si="6"/>
        <v>0.56646259782</v>
      </c>
      <c r="W64" s="167">
        <f t="shared" si="7"/>
        <v>0</v>
      </c>
    </row>
    <row r="65" spans="1:23" ht="18.75">
      <c r="A65" s="49" t="s">
        <v>100</v>
      </c>
      <c r="B65" s="230" t="s">
        <v>101</v>
      </c>
      <c r="C65" s="268"/>
      <c r="D65" s="180">
        <f>SUM(D66:D83)</f>
        <v>0</v>
      </c>
      <c r="E65" s="180">
        <f aca="true" t="shared" si="26" ref="E65:R65">SUM(E66:E83)</f>
        <v>0</v>
      </c>
      <c r="F65" s="180">
        <f t="shared" si="26"/>
        <v>0</v>
      </c>
      <c r="G65" s="180">
        <f t="shared" si="26"/>
        <v>0</v>
      </c>
      <c r="H65" s="180">
        <f t="shared" si="26"/>
        <v>0</v>
      </c>
      <c r="I65" s="180">
        <f t="shared" si="26"/>
        <v>0.21569116160000001</v>
      </c>
      <c r="J65" s="180">
        <f t="shared" si="26"/>
        <v>0</v>
      </c>
      <c r="K65" s="180">
        <f t="shared" si="26"/>
        <v>0.06470734848</v>
      </c>
      <c r="L65" s="180">
        <f t="shared" si="26"/>
        <v>0.15098381311999998</v>
      </c>
      <c r="M65" s="180">
        <f t="shared" si="26"/>
        <v>0</v>
      </c>
      <c r="N65" s="180">
        <f t="shared" si="26"/>
        <v>0.21569116160000001</v>
      </c>
      <c r="O65" s="180">
        <f t="shared" si="26"/>
        <v>0</v>
      </c>
      <c r="P65" s="180">
        <f t="shared" si="26"/>
        <v>0.06470734848</v>
      </c>
      <c r="Q65" s="180">
        <f t="shared" si="26"/>
        <v>0.15098381311999998</v>
      </c>
      <c r="R65" s="180">
        <f t="shared" si="26"/>
        <v>0</v>
      </c>
      <c r="S65" s="167">
        <f t="shared" si="3"/>
        <v>0.21569116160000001</v>
      </c>
      <c r="T65" s="167">
        <f t="shared" si="4"/>
        <v>0</v>
      </c>
      <c r="U65" s="167">
        <f t="shared" si="5"/>
        <v>0.06470734848</v>
      </c>
      <c r="V65" s="167">
        <f t="shared" si="6"/>
        <v>0.15098381311999998</v>
      </c>
      <c r="W65" s="167">
        <f t="shared" si="7"/>
        <v>0</v>
      </c>
    </row>
    <row r="66" spans="1:23" ht="18.75">
      <c r="A66" s="45" t="s">
        <v>102</v>
      </c>
      <c r="B66" s="228" t="s">
        <v>109</v>
      </c>
      <c r="C66" s="268"/>
      <c r="D66" s="167">
        <v>0</v>
      </c>
      <c r="E66" s="167">
        <v>0</v>
      </c>
      <c r="F66" s="167">
        <v>0</v>
      </c>
      <c r="G66" s="167">
        <v>0</v>
      </c>
      <c r="H66" s="167">
        <v>0</v>
      </c>
      <c r="I66" s="171">
        <v>0</v>
      </c>
      <c r="J66" s="171">
        <v>0</v>
      </c>
      <c r="K66" s="177">
        <f aca="true" t="shared" si="27" ref="K66:K72">I66*0.3</f>
        <v>0</v>
      </c>
      <c r="L66" s="177">
        <f aca="true" t="shared" si="28" ref="L66:L72">I66-K66</f>
        <v>0</v>
      </c>
      <c r="M66" s="177">
        <v>0</v>
      </c>
      <c r="N66" s="177">
        <f aca="true" t="shared" si="29" ref="N66:N75">I66-D66</f>
        <v>0</v>
      </c>
      <c r="O66" s="177">
        <f aca="true" t="shared" si="30" ref="O66:O74">J66-E66</f>
        <v>0</v>
      </c>
      <c r="P66" s="177">
        <f aca="true" t="shared" si="31" ref="P66:P74">K66-F66</f>
        <v>0</v>
      </c>
      <c r="Q66" s="177">
        <f aca="true" t="shared" si="32" ref="Q66:Q74">L66-G66</f>
        <v>0</v>
      </c>
      <c r="R66" s="177">
        <f aca="true" t="shared" si="33" ref="R66:R74">M66-H66</f>
        <v>0</v>
      </c>
      <c r="S66" s="167">
        <f t="shared" si="3"/>
        <v>0</v>
      </c>
      <c r="T66" s="167">
        <f t="shared" si="4"/>
        <v>0</v>
      </c>
      <c r="U66" s="167">
        <f t="shared" si="5"/>
        <v>0</v>
      </c>
      <c r="V66" s="167">
        <f t="shared" si="6"/>
        <v>0</v>
      </c>
      <c r="W66" s="167">
        <f t="shared" si="7"/>
        <v>0</v>
      </c>
    </row>
    <row r="67" spans="1:23" ht="18.75">
      <c r="A67" s="45" t="s">
        <v>102</v>
      </c>
      <c r="B67" s="228" t="s">
        <v>111</v>
      </c>
      <c r="C67" s="268"/>
      <c r="D67" s="167">
        <v>0</v>
      </c>
      <c r="E67" s="167">
        <v>0</v>
      </c>
      <c r="F67" s="167">
        <v>0</v>
      </c>
      <c r="G67" s="167">
        <v>0</v>
      </c>
      <c r="H67" s="167">
        <v>0</v>
      </c>
      <c r="I67" s="171">
        <v>0</v>
      </c>
      <c r="J67" s="171">
        <v>0</v>
      </c>
      <c r="K67" s="177">
        <f t="shared" si="27"/>
        <v>0</v>
      </c>
      <c r="L67" s="177">
        <f t="shared" si="28"/>
        <v>0</v>
      </c>
      <c r="M67" s="177">
        <v>0</v>
      </c>
      <c r="N67" s="177">
        <f t="shared" si="29"/>
        <v>0</v>
      </c>
      <c r="O67" s="177">
        <f t="shared" si="30"/>
        <v>0</v>
      </c>
      <c r="P67" s="177">
        <f t="shared" si="31"/>
        <v>0</v>
      </c>
      <c r="Q67" s="177">
        <f t="shared" si="32"/>
        <v>0</v>
      </c>
      <c r="R67" s="177">
        <f t="shared" si="33"/>
        <v>0</v>
      </c>
      <c r="S67" s="167">
        <f t="shared" si="3"/>
        <v>0</v>
      </c>
      <c r="T67" s="167">
        <f t="shared" si="4"/>
        <v>0</v>
      </c>
      <c r="U67" s="167">
        <f t="shared" si="5"/>
        <v>0</v>
      </c>
      <c r="V67" s="167">
        <f t="shared" si="6"/>
        <v>0</v>
      </c>
      <c r="W67" s="167">
        <f t="shared" si="7"/>
        <v>0</v>
      </c>
    </row>
    <row r="68" spans="1:23" ht="31.5">
      <c r="A68" s="45" t="s">
        <v>102</v>
      </c>
      <c r="B68" s="228" t="s">
        <v>113</v>
      </c>
      <c r="C68" s="268"/>
      <c r="D68" s="167">
        <v>0</v>
      </c>
      <c r="E68" s="167">
        <v>0</v>
      </c>
      <c r="F68" s="167">
        <v>0</v>
      </c>
      <c r="G68" s="167">
        <v>0</v>
      </c>
      <c r="H68" s="167">
        <v>0</v>
      </c>
      <c r="I68" s="171">
        <v>0</v>
      </c>
      <c r="J68" s="171">
        <v>0</v>
      </c>
      <c r="K68" s="177">
        <f t="shared" si="27"/>
        <v>0</v>
      </c>
      <c r="L68" s="177">
        <f t="shared" si="28"/>
        <v>0</v>
      </c>
      <c r="M68" s="177">
        <v>0</v>
      </c>
      <c r="N68" s="177">
        <f t="shared" si="29"/>
        <v>0</v>
      </c>
      <c r="O68" s="177">
        <f t="shared" si="30"/>
        <v>0</v>
      </c>
      <c r="P68" s="177">
        <f t="shared" si="31"/>
        <v>0</v>
      </c>
      <c r="Q68" s="177">
        <f t="shared" si="32"/>
        <v>0</v>
      </c>
      <c r="R68" s="177">
        <f t="shared" si="33"/>
        <v>0</v>
      </c>
      <c r="S68" s="167">
        <f t="shared" si="3"/>
        <v>0</v>
      </c>
      <c r="T68" s="167">
        <f t="shared" si="4"/>
        <v>0</v>
      </c>
      <c r="U68" s="167">
        <f t="shared" si="5"/>
        <v>0</v>
      </c>
      <c r="V68" s="167">
        <f t="shared" si="6"/>
        <v>0</v>
      </c>
      <c r="W68" s="167">
        <f t="shared" si="7"/>
        <v>0</v>
      </c>
    </row>
    <row r="69" spans="1:23" ht="18.75">
      <c r="A69" s="45" t="s">
        <v>102</v>
      </c>
      <c r="B69" s="228" t="s">
        <v>115</v>
      </c>
      <c r="C69" s="268"/>
      <c r="D69" s="167">
        <v>0</v>
      </c>
      <c r="E69" s="167">
        <v>0</v>
      </c>
      <c r="F69" s="167">
        <v>0</v>
      </c>
      <c r="G69" s="167">
        <v>0</v>
      </c>
      <c r="H69" s="167">
        <v>0</v>
      </c>
      <c r="I69" s="171">
        <v>0</v>
      </c>
      <c r="J69" s="171">
        <v>0</v>
      </c>
      <c r="K69" s="177">
        <f t="shared" si="27"/>
        <v>0</v>
      </c>
      <c r="L69" s="177">
        <f t="shared" si="28"/>
        <v>0</v>
      </c>
      <c r="M69" s="177">
        <v>0</v>
      </c>
      <c r="N69" s="177">
        <f t="shared" si="29"/>
        <v>0</v>
      </c>
      <c r="O69" s="177">
        <f t="shared" si="30"/>
        <v>0</v>
      </c>
      <c r="P69" s="177">
        <f t="shared" si="31"/>
        <v>0</v>
      </c>
      <c r="Q69" s="177">
        <f t="shared" si="32"/>
        <v>0</v>
      </c>
      <c r="R69" s="177">
        <f t="shared" si="33"/>
        <v>0</v>
      </c>
      <c r="S69" s="167">
        <f t="shared" si="3"/>
        <v>0</v>
      </c>
      <c r="T69" s="167">
        <f t="shared" si="4"/>
        <v>0</v>
      </c>
      <c r="U69" s="167">
        <f t="shared" si="5"/>
        <v>0</v>
      </c>
      <c r="V69" s="167">
        <f t="shared" si="6"/>
        <v>0</v>
      </c>
      <c r="W69" s="167">
        <f t="shared" si="7"/>
        <v>0</v>
      </c>
    </row>
    <row r="70" spans="1:23" ht="18.75">
      <c r="A70" s="45" t="s">
        <v>102</v>
      </c>
      <c r="B70" s="228" t="s">
        <v>117</v>
      </c>
      <c r="C70" s="268"/>
      <c r="D70" s="167">
        <v>0</v>
      </c>
      <c r="E70" s="167">
        <v>0</v>
      </c>
      <c r="F70" s="167">
        <v>0</v>
      </c>
      <c r="G70" s="167">
        <v>0</v>
      </c>
      <c r="H70" s="167">
        <v>0</v>
      </c>
      <c r="I70" s="171">
        <v>0</v>
      </c>
      <c r="J70" s="171">
        <v>0</v>
      </c>
      <c r="K70" s="177">
        <f t="shared" si="27"/>
        <v>0</v>
      </c>
      <c r="L70" s="177">
        <f t="shared" si="28"/>
        <v>0</v>
      </c>
      <c r="M70" s="177">
        <v>0</v>
      </c>
      <c r="N70" s="177">
        <f t="shared" si="29"/>
        <v>0</v>
      </c>
      <c r="O70" s="177">
        <f t="shared" si="30"/>
        <v>0</v>
      </c>
      <c r="P70" s="177">
        <f t="shared" si="31"/>
        <v>0</v>
      </c>
      <c r="Q70" s="177">
        <f t="shared" si="32"/>
        <v>0</v>
      </c>
      <c r="R70" s="177">
        <f t="shared" si="33"/>
        <v>0</v>
      </c>
      <c r="S70" s="167">
        <f t="shared" si="3"/>
        <v>0</v>
      </c>
      <c r="T70" s="167">
        <f t="shared" si="4"/>
        <v>0</v>
      </c>
      <c r="U70" s="167">
        <f t="shared" si="5"/>
        <v>0</v>
      </c>
      <c r="V70" s="167">
        <f t="shared" si="6"/>
        <v>0</v>
      </c>
      <c r="W70" s="167">
        <f t="shared" si="7"/>
        <v>0</v>
      </c>
    </row>
    <row r="71" spans="1:23" ht="18.75">
      <c r="A71" s="45" t="s">
        <v>102</v>
      </c>
      <c r="B71" s="228" t="s">
        <v>119</v>
      </c>
      <c r="C71" s="268"/>
      <c r="D71" s="167">
        <v>0</v>
      </c>
      <c r="E71" s="167">
        <v>0</v>
      </c>
      <c r="F71" s="167">
        <v>0</v>
      </c>
      <c r="G71" s="167">
        <v>0</v>
      </c>
      <c r="H71" s="167">
        <v>0</v>
      </c>
      <c r="I71" s="171">
        <v>0</v>
      </c>
      <c r="J71" s="171">
        <v>0</v>
      </c>
      <c r="K71" s="177">
        <f t="shared" si="27"/>
        <v>0</v>
      </c>
      <c r="L71" s="177">
        <f t="shared" si="28"/>
        <v>0</v>
      </c>
      <c r="M71" s="177">
        <v>0</v>
      </c>
      <c r="N71" s="177">
        <f t="shared" si="29"/>
        <v>0</v>
      </c>
      <c r="O71" s="177">
        <f t="shared" si="30"/>
        <v>0</v>
      </c>
      <c r="P71" s="177">
        <f t="shared" si="31"/>
        <v>0</v>
      </c>
      <c r="Q71" s="177">
        <f t="shared" si="32"/>
        <v>0</v>
      </c>
      <c r="R71" s="177">
        <f t="shared" si="33"/>
        <v>0</v>
      </c>
      <c r="S71" s="167">
        <f t="shared" si="3"/>
        <v>0</v>
      </c>
      <c r="T71" s="167">
        <f t="shared" si="4"/>
        <v>0</v>
      </c>
      <c r="U71" s="167">
        <f t="shared" si="5"/>
        <v>0</v>
      </c>
      <c r="V71" s="167">
        <f t="shared" si="6"/>
        <v>0</v>
      </c>
      <c r="W71" s="167">
        <f t="shared" si="7"/>
        <v>0</v>
      </c>
    </row>
    <row r="72" spans="1:23" ht="18.75">
      <c r="A72" s="45" t="s">
        <v>102</v>
      </c>
      <c r="B72" s="228" t="s">
        <v>121</v>
      </c>
      <c r="C72" s="268"/>
      <c r="D72" s="167">
        <v>0</v>
      </c>
      <c r="E72" s="167">
        <v>0</v>
      </c>
      <c r="F72" s="167">
        <v>0</v>
      </c>
      <c r="G72" s="167">
        <v>0</v>
      </c>
      <c r="H72" s="167">
        <v>0</v>
      </c>
      <c r="I72" s="171">
        <v>0</v>
      </c>
      <c r="J72" s="171">
        <v>0</v>
      </c>
      <c r="K72" s="177">
        <f t="shared" si="27"/>
        <v>0</v>
      </c>
      <c r="L72" s="177">
        <f t="shared" si="28"/>
        <v>0</v>
      </c>
      <c r="M72" s="177">
        <v>0</v>
      </c>
      <c r="N72" s="177">
        <f t="shared" si="29"/>
        <v>0</v>
      </c>
      <c r="O72" s="177">
        <f t="shared" si="30"/>
        <v>0</v>
      </c>
      <c r="P72" s="177">
        <f t="shared" si="31"/>
        <v>0</v>
      </c>
      <c r="Q72" s="177">
        <f t="shared" si="32"/>
        <v>0</v>
      </c>
      <c r="R72" s="177">
        <f t="shared" si="33"/>
        <v>0</v>
      </c>
      <c r="S72" s="167">
        <f t="shared" si="3"/>
        <v>0</v>
      </c>
      <c r="T72" s="167">
        <f t="shared" si="4"/>
        <v>0</v>
      </c>
      <c r="U72" s="167">
        <f t="shared" si="5"/>
        <v>0</v>
      </c>
      <c r="V72" s="167">
        <f t="shared" si="6"/>
        <v>0</v>
      </c>
      <c r="W72" s="167">
        <f t="shared" si="7"/>
        <v>0</v>
      </c>
    </row>
    <row r="73" spans="1:23" s="182" customFormat="1" ht="31.5">
      <c r="A73" s="45"/>
      <c r="B73" s="228" t="s">
        <v>123</v>
      </c>
      <c r="C73" s="268"/>
      <c r="D73" s="167">
        <v>0</v>
      </c>
      <c r="E73" s="167">
        <v>0</v>
      </c>
      <c r="F73" s="167">
        <v>0</v>
      </c>
      <c r="G73" s="167">
        <v>0</v>
      </c>
      <c r="H73" s="167">
        <v>0</v>
      </c>
      <c r="I73" s="179">
        <v>0.056524088599999994</v>
      </c>
      <c r="J73" s="167">
        <v>0</v>
      </c>
      <c r="K73" s="167">
        <v>0.01695722658</v>
      </c>
      <c r="L73" s="167">
        <v>0.039566862019999996</v>
      </c>
      <c r="M73" s="167">
        <v>0</v>
      </c>
      <c r="N73" s="181">
        <f t="shared" si="29"/>
        <v>0.056524088599999994</v>
      </c>
      <c r="O73" s="181">
        <f t="shared" si="30"/>
        <v>0</v>
      </c>
      <c r="P73" s="181">
        <f t="shared" si="31"/>
        <v>0.01695722658</v>
      </c>
      <c r="Q73" s="181">
        <f t="shared" si="32"/>
        <v>0.039566862019999996</v>
      </c>
      <c r="R73" s="181">
        <f t="shared" si="33"/>
        <v>0</v>
      </c>
      <c r="S73" s="167">
        <f t="shared" si="3"/>
        <v>0.056524088599999994</v>
      </c>
      <c r="T73" s="167">
        <f t="shared" si="4"/>
        <v>0</v>
      </c>
      <c r="U73" s="167">
        <f t="shared" si="5"/>
        <v>0.01695722658</v>
      </c>
      <c r="V73" s="167">
        <f t="shared" si="6"/>
        <v>0.039566862019999996</v>
      </c>
      <c r="W73" s="167">
        <f t="shared" si="7"/>
        <v>0</v>
      </c>
    </row>
    <row r="74" spans="1:23" s="182" customFormat="1" ht="42" customHeight="1">
      <c r="A74" s="45"/>
      <c r="B74" s="228" t="s">
        <v>105</v>
      </c>
      <c r="C74" s="268"/>
      <c r="D74" s="179">
        <v>0</v>
      </c>
      <c r="E74" s="179">
        <v>0</v>
      </c>
      <c r="F74" s="179">
        <v>0</v>
      </c>
      <c r="G74" s="179">
        <v>0</v>
      </c>
      <c r="H74" s="179">
        <v>0</v>
      </c>
      <c r="I74" s="181">
        <v>0.007724043999999999</v>
      </c>
      <c r="J74" s="179">
        <v>0</v>
      </c>
      <c r="K74" s="181">
        <v>0.0023172132</v>
      </c>
      <c r="L74" s="181">
        <v>0.0054068308</v>
      </c>
      <c r="M74" s="179">
        <v>0</v>
      </c>
      <c r="N74" s="181">
        <f t="shared" si="29"/>
        <v>0.007724043999999999</v>
      </c>
      <c r="O74" s="181">
        <f t="shared" si="30"/>
        <v>0</v>
      </c>
      <c r="P74" s="181">
        <f t="shared" si="31"/>
        <v>0.0023172132</v>
      </c>
      <c r="Q74" s="181">
        <f t="shared" si="32"/>
        <v>0.0054068308</v>
      </c>
      <c r="R74" s="181">
        <f t="shared" si="33"/>
        <v>0</v>
      </c>
      <c r="S74" s="167">
        <f t="shared" si="3"/>
        <v>0.007724043999999999</v>
      </c>
      <c r="T74" s="167">
        <f t="shared" si="4"/>
        <v>0</v>
      </c>
      <c r="U74" s="167">
        <f t="shared" si="5"/>
        <v>0.0023172132</v>
      </c>
      <c r="V74" s="167">
        <f t="shared" si="6"/>
        <v>0.0054068308</v>
      </c>
      <c r="W74" s="167">
        <f t="shared" si="7"/>
        <v>0</v>
      </c>
    </row>
    <row r="75" spans="1:23" s="182" customFormat="1" ht="18.75">
      <c r="A75" s="45"/>
      <c r="B75" s="233" t="s">
        <v>107</v>
      </c>
      <c r="C75" s="268"/>
      <c r="D75" s="179">
        <v>0</v>
      </c>
      <c r="E75" s="179">
        <v>0</v>
      </c>
      <c r="F75" s="179">
        <v>0</v>
      </c>
      <c r="G75" s="179">
        <v>0</v>
      </c>
      <c r="H75" s="179">
        <v>0</v>
      </c>
      <c r="I75" s="181">
        <f>62721.55/1000000*1.18</f>
        <v>0.074011429</v>
      </c>
      <c r="J75" s="179">
        <v>0</v>
      </c>
      <c r="K75" s="181">
        <f>I75*0.3</f>
        <v>0.0222034287</v>
      </c>
      <c r="L75" s="181">
        <f>I75-K75</f>
        <v>0.051808000300000004</v>
      </c>
      <c r="M75" s="179">
        <v>0</v>
      </c>
      <c r="N75" s="181">
        <f t="shared" si="29"/>
        <v>0.074011429</v>
      </c>
      <c r="O75" s="181">
        <f>J75-E75</f>
        <v>0</v>
      </c>
      <c r="P75" s="181">
        <f>K75-F75</f>
        <v>0.0222034287</v>
      </c>
      <c r="Q75" s="181">
        <f>L75-G75</f>
        <v>0.051808000300000004</v>
      </c>
      <c r="R75" s="181">
        <f>M75-H75</f>
        <v>0</v>
      </c>
      <c r="S75" s="167">
        <f t="shared" si="3"/>
        <v>0.074011429</v>
      </c>
      <c r="T75" s="167">
        <f t="shared" si="4"/>
        <v>0</v>
      </c>
      <c r="U75" s="167">
        <f t="shared" si="5"/>
        <v>0.0222034287</v>
      </c>
      <c r="V75" s="167">
        <f t="shared" si="6"/>
        <v>0.051808000300000004</v>
      </c>
      <c r="W75" s="167">
        <f t="shared" si="7"/>
        <v>0</v>
      </c>
    </row>
    <row r="76" spans="1:23" s="182" customFormat="1" ht="18.75">
      <c r="A76" s="45"/>
      <c r="B76" s="233" t="s">
        <v>109</v>
      </c>
      <c r="C76" s="268"/>
      <c r="D76" s="179">
        <v>0</v>
      </c>
      <c r="E76" s="179">
        <v>0</v>
      </c>
      <c r="F76" s="179">
        <v>0</v>
      </c>
      <c r="G76" s="179">
        <v>0</v>
      </c>
      <c r="H76" s="179">
        <v>0</v>
      </c>
      <c r="I76" s="181">
        <f>6.58/1000*1.18</f>
        <v>0.007764399999999999</v>
      </c>
      <c r="J76" s="179">
        <v>0</v>
      </c>
      <c r="K76" s="181">
        <f aca="true" t="shared" si="34" ref="K76:K83">I76*0.3</f>
        <v>0.0023293199999999997</v>
      </c>
      <c r="L76" s="181">
        <f aca="true" t="shared" si="35" ref="L76:L83">I76-K76</f>
        <v>0.00543508</v>
      </c>
      <c r="M76" s="179">
        <v>0</v>
      </c>
      <c r="N76" s="181">
        <f aca="true" t="shared" si="36" ref="N76:N83">I76-D76</f>
        <v>0.007764399999999999</v>
      </c>
      <c r="O76" s="181">
        <f aca="true" t="shared" si="37" ref="O76:O83">J76-E76</f>
        <v>0</v>
      </c>
      <c r="P76" s="181">
        <f aca="true" t="shared" si="38" ref="P76:P83">K76-F76</f>
        <v>0.0023293199999999997</v>
      </c>
      <c r="Q76" s="181">
        <f aca="true" t="shared" si="39" ref="Q76:Q83">L76-G76</f>
        <v>0.00543508</v>
      </c>
      <c r="R76" s="181">
        <f aca="true" t="shared" si="40" ref="R76:R83">M76-H76</f>
        <v>0</v>
      </c>
      <c r="S76" s="167">
        <f t="shared" si="3"/>
        <v>0.007764399999999999</v>
      </c>
      <c r="T76" s="167">
        <f t="shared" si="4"/>
        <v>0</v>
      </c>
      <c r="U76" s="167">
        <f t="shared" si="5"/>
        <v>0.0023293199999999997</v>
      </c>
      <c r="V76" s="167">
        <f t="shared" si="6"/>
        <v>0.00543508</v>
      </c>
      <c r="W76" s="167">
        <f t="shared" si="7"/>
        <v>0</v>
      </c>
    </row>
    <row r="77" spans="1:23" s="182" customFormat="1" ht="18.75">
      <c r="A77" s="45"/>
      <c r="B77" s="233" t="s">
        <v>111</v>
      </c>
      <c r="C77" s="268"/>
      <c r="D77" s="179">
        <v>0</v>
      </c>
      <c r="E77" s="179">
        <v>0</v>
      </c>
      <c r="F77" s="179">
        <v>0</v>
      </c>
      <c r="G77" s="179">
        <v>0</v>
      </c>
      <c r="H77" s="179">
        <v>0</v>
      </c>
      <c r="I77" s="181">
        <f>6.61/1000*1.18</f>
        <v>0.0077998</v>
      </c>
      <c r="J77" s="179">
        <v>0</v>
      </c>
      <c r="K77" s="181">
        <f t="shared" si="34"/>
        <v>0.00233994</v>
      </c>
      <c r="L77" s="181">
        <f t="shared" si="35"/>
        <v>0.00545986</v>
      </c>
      <c r="M77" s="179">
        <v>0</v>
      </c>
      <c r="N77" s="181">
        <f t="shared" si="36"/>
        <v>0.0077998</v>
      </c>
      <c r="O77" s="181">
        <f t="shared" si="37"/>
        <v>0</v>
      </c>
      <c r="P77" s="181">
        <f t="shared" si="38"/>
        <v>0.00233994</v>
      </c>
      <c r="Q77" s="181">
        <f t="shared" si="39"/>
        <v>0.00545986</v>
      </c>
      <c r="R77" s="181">
        <f t="shared" si="40"/>
        <v>0</v>
      </c>
      <c r="S77" s="167">
        <f t="shared" si="3"/>
        <v>0.0077998</v>
      </c>
      <c r="T77" s="167">
        <f t="shared" si="4"/>
        <v>0</v>
      </c>
      <c r="U77" s="167">
        <f t="shared" si="5"/>
        <v>0.00233994</v>
      </c>
      <c r="V77" s="167">
        <f t="shared" si="6"/>
        <v>0.00545986</v>
      </c>
      <c r="W77" s="167">
        <f t="shared" si="7"/>
        <v>0</v>
      </c>
    </row>
    <row r="78" spans="1:23" s="182" customFormat="1" ht="31.5">
      <c r="A78" s="45"/>
      <c r="B78" s="233" t="s">
        <v>113</v>
      </c>
      <c r="C78" s="268"/>
      <c r="D78" s="179">
        <v>0</v>
      </c>
      <c r="E78" s="179">
        <v>0</v>
      </c>
      <c r="F78" s="179">
        <v>0</v>
      </c>
      <c r="G78" s="179">
        <v>0</v>
      </c>
      <c r="H78" s="179">
        <v>0</v>
      </c>
      <c r="I78" s="181">
        <f>13.22/1000*1.18</f>
        <v>0.0155996</v>
      </c>
      <c r="J78" s="179">
        <v>0</v>
      </c>
      <c r="K78" s="181">
        <f t="shared" si="34"/>
        <v>0.00467988</v>
      </c>
      <c r="L78" s="181">
        <f t="shared" si="35"/>
        <v>0.01091972</v>
      </c>
      <c r="M78" s="179">
        <v>0</v>
      </c>
      <c r="N78" s="181">
        <f t="shared" si="36"/>
        <v>0.0155996</v>
      </c>
      <c r="O78" s="181">
        <f t="shared" si="37"/>
        <v>0</v>
      </c>
      <c r="P78" s="181">
        <f t="shared" si="38"/>
        <v>0.00467988</v>
      </c>
      <c r="Q78" s="181">
        <f t="shared" si="39"/>
        <v>0.01091972</v>
      </c>
      <c r="R78" s="181">
        <f t="shared" si="40"/>
        <v>0</v>
      </c>
      <c r="S78" s="167">
        <f t="shared" si="3"/>
        <v>0.0155996</v>
      </c>
      <c r="T78" s="167">
        <f t="shared" si="4"/>
        <v>0</v>
      </c>
      <c r="U78" s="167">
        <f t="shared" si="5"/>
        <v>0.00467988</v>
      </c>
      <c r="V78" s="167">
        <f t="shared" si="6"/>
        <v>0.01091972</v>
      </c>
      <c r="W78" s="167">
        <f t="shared" si="7"/>
        <v>0</v>
      </c>
    </row>
    <row r="79" spans="1:23" s="182" customFormat="1" ht="18.75">
      <c r="A79" s="45"/>
      <c r="B79" s="233" t="s">
        <v>115</v>
      </c>
      <c r="C79" s="268"/>
      <c r="D79" s="179">
        <v>0</v>
      </c>
      <c r="E79" s="179">
        <v>0</v>
      </c>
      <c r="F79" s="179">
        <v>0</v>
      </c>
      <c r="G79" s="179">
        <v>0</v>
      </c>
      <c r="H79" s="179">
        <v>0</v>
      </c>
      <c r="I79" s="181">
        <f>3.155/1000*1.18</f>
        <v>0.0037228999999999995</v>
      </c>
      <c r="J79" s="179">
        <v>0</v>
      </c>
      <c r="K79" s="181">
        <f t="shared" si="34"/>
        <v>0.0011168699999999998</v>
      </c>
      <c r="L79" s="181">
        <f t="shared" si="35"/>
        <v>0.0026060299999999996</v>
      </c>
      <c r="M79" s="179">
        <v>0</v>
      </c>
      <c r="N79" s="181">
        <f t="shared" si="36"/>
        <v>0.0037228999999999995</v>
      </c>
      <c r="O79" s="181">
        <f t="shared" si="37"/>
        <v>0</v>
      </c>
      <c r="P79" s="181">
        <f t="shared" si="38"/>
        <v>0.0011168699999999998</v>
      </c>
      <c r="Q79" s="181">
        <f t="shared" si="39"/>
        <v>0.0026060299999999996</v>
      </c>
      <c r="R79" s="181">
        <f t="shared" si="40"/>
        <v>0</v>
      </c>
      <c r="S79" s="167">
        <f t="shared" si="3"/>
        <v>0.0037228999999999995</v>
      </c>
      <c r="T79" s="167">
        <f t="shared" si="4"/>
        <v>0</v>
      </c>
      <c r="U79" s="167">
        <f t="shared" si="5"/>
        <v>0.0011168699999999998</v>
      </c>
      <c r="V79" s="167">
        <f t="shared" si="6"/>
        <v>0.0026060299999999996</v>
      </c>
      <c r="W79" s="167">
        <f t="shared" si="7"/>
        <v>0</v>
      </c>
    </row>
    <row r="80" spans="1:23" s="182" customFormat="1" ht="18.75">
      <c r="A80" s="45"/>
      <c r="B80" s="233" t="s">
        <v>117</v>
      </c>
      <c r="C80" s="268"/>
      <c r="D80" s="179">
        <v>0</v>
      </c>
      <c r="E80" s="179">
        <v>0</v>
      </c>
      <c r="F80" s="179">
        <v>0</v>
      </c>
      <c r="G80" s="179">
        <v>0</v>
      </c>
      <c r="H80" s="179">
        <v>0</v>
      </c>
      <c r="I80" s="181">
        <f>3.155/1000*1.18</f>
        <v>0.0037228999999999995</v>
      </c>
      <c r="J80" s="179">
        <v>0</v>
      </c>
      <c r="K80" s="181">
        <f t="shared" si="34"/>
        <v>0.0011168699999999998</v>
      </c>
      <c r="L80" s="181">
        <f t="shared" si="35"/>
        <v>0.0026060299999999996</v>
      </c>
      <c r="M80" s="179">
        <v>0</v>
      </c>
      <c r="N80" s="181">
        <f t="shared" si="36"/>
        <v>0.0037228999999999995</v>
      </c>
      <c r="O80" s="181">
        <f t="shared" si="37"/>
        <v>0</v>
      </c>
      <c r="P80" s="181">
        <f t="shared" si="38"/>
        <v>0.0011168699999999998</v>
      </c>
      <c r="Q80" s="181">
        <f t="shared" si="39"/>
        <v>0.0026060299999999996</v>
      </c>
      <c r="R80" s="181">
        <f t="shared" si="40"/>
        <v>0</v>
      </c>
      <c r="S80" s="167">
        <f t="shared" si="3"/>
        <v>0.0037228999999999995</v>
      </c>
      <c r="T80" s="167">
        <f t="shared" si="4"/>
        <v>0</v>
      </c>
      <c r="U80" s="167">
        <f t="shared" si="5"/>
        <v>0.0011168699999999998</v>
      </c>
      <c r="V80" s="167">
        <f t="shared" si="6"/>
        <v>0.0026060299999999996</v>
      </c>
      <c r="W80" s="167">
        <f t="shared" si="7"/>
        <v>0</v>
      </c>
    </row>
    <row r="81" spans="1:23" s="182" customFormat="1" ht="18.75">
      <c r="A81" s="45"/>
      <c r="B81" s="233" t="s">
        <v>119</v>
      </c>
      <c r="C81" s="268"/>
      <c r="D81" s="179">
        <v>0</v>
      </c>
      <c r="E81" s="179">
        <v>0</v>
      </c>
      <c r="F81" s="179">
        <v>0</v>
      </c>
      <c r="G81" s="179">
        <v>0</v>
      </c>
      <c r="H81" s="179">
        <v>0</v>
      </c>
      <c r="I81" s="181">
        <f>6.58/1000*1.18</f>
        <v>0.007764399999999999</v>
      </c>
      <c r="J81" s="179">
        <v>0</v>
      </c>
      <c r="K81" s="181">
        <f t="shared" si="34"/>
        <v>0.0023293199999999997</v>
      </c>
      <c r="L81" s="181">
        <f t="shared" si="35"/>
        <v>0.00543508</v>
      </c>
      <c r="M81" s="179">
        <v>0</v>
      </c>
      <c r="N81" s="181">
        <f t="shared" si="36"/>
        <v>0.007764399999999999</v>
      </c>
      <c r="O81" s="181">
        <f t="shared" si="37"/>
        <v>0</v>
      </c>
      <c r="P81" s="181">
        <f t="shared" si="38"/>
        <v>0.0023293199999999997</v>
      </c>
      <c r="Q81" s="181">
        <f t="shared" si="39"/>
        <v>0.00543508</v>
      </c>
      <c r="R81" s="181">
        <f t="shared" si="40"/>
        <v>0</v>
      </c>
      <c r="S81" s="167">
        <f t="shared" si="3"/>
        <v>0.007764399999999999</v>
      </c>
      <c r="T81" s="167">
        <f t="shared" si="4"/>
        <v>0</v>
      </c>
      <c r="U81" s="167">
        <f t="shared" si="5"/>
        <v>0.0023293199999999997</v>
      </c>
      <c r="V81" s="167">
        <f t="shared" si="6"/>
        <v>0.00543508</v>
      </c>
      <c r="W81" s="167">
        <f t="shared" si="7"/>
        <v>0</v>
      </c>
    </row>
    <row r="82" spans="1:23" s="182" customFormat="1" ht="18.75">
      <c r="A82" s="45"/>
      <c r="B82" s="233" t="s">
        <v>121</v>
      </c>
      <c r="C82" s="268"/>
      <c r="D82" s="179">
        <v>0</v>
      </c>
      <c r="E82" s="179">
        <v>0</v>
      </c>
      <c r="F82" s="179">
        <v>0</v>
      </c>
      <c r="G82" s="179">
        <v>0</v>
      </c>
      <c r="H82" s="179">
        <v>0</v>
      </c>
      <c r="I82" s="181">
        <f>13.16/1000*1.18</f>
        <v>0.015528799999999999</v>
      </c>
      <c r="J82" s="179">
        <v>0</v>
      </c>
      <c r="K82" s="181">
        <f t="shared" si="34"/>
        <v>0.0046586399999999995</v>
      </c>
      <c r="L82" s="181">
        <f t="shared" si="35"/>
        <v>0.01087016</v>
      </c>
      <c r="M82" s="179">
        <v>0</v>
      </c>
      <c r="N82" s="181">
        <f t="shared" si="36"/>
        <v>0.015528799999999999</v>
      </c>
      <c r="O82" s="181">
        <f t="shared" si="37"/>
        <v>0</v>
      </c>
      <c r="P82" s="181">
        <f t="shared" si="38"/>
        <v>0.0046586399999999995</v>
      </c>
      <c r="Q82" s="181">
        <f t="shared" si="39"/>
        <v>0.01087016</v>
      </c>
      <c r="R82" s="181">
        <f t="shared" si="40"/>
        <v>0</v>
      </c>
      <c r="S82" s="167">
        <f t="shared" si="3"/>
        <v>0.015528799999999999</v>
      </c>
      <c r="T82" s="167">
        <f t="shared" si="4"/>
        <v>0</v>
      </c>
      <c r="U82" s="167">
        <f t="shared" si="5"/>
        <v>0.0046586399999999995</v>
      </c>
      <c r="V82" s="167">
        <f t="shared" si="6"/>
        <v>0.01087016</v>
      </c>
      <c r="W82" s="167">
        <f t="shared" si="7"/>
        <v>0</v>
      </c>
    </row>
    <row r="83" spans="1:23" s="182" customFormat="1" ht="31.5">
      <c r="A83" s="45"/>
      <c r="B83" s="233" t="s">
        <v>123</v>
      </c>
      <c r="C83" s="268"/>
      <c r="D83" s="179">
        <v>0</v>
      </c>
      <c r="E83" s="179">
        <v>0</v>
      </c>
      <c r="F83" s="179">
        <v>0</v>
      </c>
      <c r="G83" s="179">
        <v>0</v>
      </c>
      <c r="H83" s="179">
        <v>0</v>
      </c>
      <c r="I83" s="181">
        <f>13.16/1000*1.18</f>
        <v>0.015528799999999999</v>
      </c>
      <c r="J83" s="179">
        <v>0</v>
      </c>
      <c r="K83" s="181">
        <f t="shared" si="34"/>
        <v>0.0046586399999999995</v>
      </c>
      <c r="L83" s="181">
        <f t="shared" si="35"/>
        <v>0.01087016</v>
      </c>
      <c r="M83" s="179">
        <v>0</v>
      </c>
      <c r="N83" s="181">
        <f t="shared" si="36"/>
        <v>0.015528799999999999</v>
      </c>
      <c r="O83" s="181">
        <f t="shared" si="37"/>
        <v>0</v>
      </c>
      <c r="P83" s="181">
        <f t="shared" si="38"/>
        <v>0.0046586399999999995</v>
      </c>
      <c r="Q83" s="181">
        <f t="shared" si="39"/>
        <v>0.01087016</v>
      </c>
      <c r="R83" s="181">
        <f t="shared" si="40"/>
        <v>0</v>
      </c>
      <c r="S83" s="167">
        <f t="shared" si="3"/>
        <v>0.015528799999999999</v>
      </c>
      <c r="T83" s="167">
        <f t="shared" si="4"/>
        <v>0</v>
      </c>
      <c r="U83" s="167">
        <f t="shared" si="5"/>
        <v>0.0046586399999999995</v>
      </c>
      <c r="V83" s="167">
        <f t="shared" si="6"/>
        <v>0.01087016</v>
      </c>
      <c r="W83" s="167">
        <f t="shared" si="7"/>
        <v>0</v>
      </c>
    </row>
    <row r="84" spans="1:23" s="165" customFormat="1" ht="18.75">
      <c r="A84" s="65" t="s">
        <v>124</v>
      </c>
      <c r="B84" s="235" t="s">
        <v>125</v>
      </c>
      <c r="C84" s="269"/>
      <c r="D84" s="169">
        <f>SUM(D85:D90)</f>
        <v>7.0594954609599885</v>
      </c>
      <c r="E84" s="169">
        <f aca="true" t="shared" si="41" ref="E84:R84">SUM(E85:E90)</f>
        <v>0</v>
      </c>
      <c r="F84" s="169">
        <f t="shared" si="41"/>
        <v>0</v>
      </c>
      <c r="G84" s="169">
        <f t="shared" si="41"/>
        <v>7.0594954609599885</v>
      </c>
      <c r="H84" s="169">
        <f t="shared" si="41"/>
        <v>0</v>
      </c>
      <c r="I84" s="171">
        <f t="shared" si="41"/>
        <v>16.744366697399997</v>
      </c>
      <c r="J84" s="179">
        <f t="shared" si="41"/>
        <v>0</v>
      </c>
      <c r="K84" s="169">
        <f t="shared" si="41"/>
        <v>0</v>
      </c>
      <c r="L84" s="138">
        <f t="shared" si="41"/>
        <v>16.744366697399997</v>
      </c>
      <c r="M84" s="138">
        <f t="shared" si="41"/>
        <v>0</v>
      </c>
      <c r="N84" s="138">
        <f t="shared" si="41"/>
        <v>9.68487123644001</v>
      </c>
      <c r="O84" s="169">
        <f t="shared" si="41"/>
        <v>0</v>
      </c>
      <c r="P84" s="169">
        <f t="shared" si="41"/>
        <v>0</v>
      </c>
      <c r="Q84" s="138">
        <f t="shared" si="41"/>
        <v>9.68487123644001</v>
      </c>
      <c r="R84" s="169">
        <f t="shared" si="41"/>
        <v>0</v>
      </c>
      <c r="S84" s="167">
        <f t="shared" si="3"/>
        <v>16.744366697399997</v>
      </c>
      <c r="T84" s="167">
        <f t="shared" si="4"/>
        <v>0</v>
      </c>
      <c r="U84" s="167">
        <f t="shared" si="5"/>
        <v>0</v>
      </c>
      <c r="V84" s="167">
        <f t="shared" si="6"/>
        <v>16.744366697399997</v>
      </c>
      <c r="W84" s="167">
        <f t="shared" si="7"/>
        <v>0</v>
      </c>
    </row>
    <row r="85" spans="1:23" ht="18.75">
      <c r="A85" s="32" t="s">
        <v>124</v>
      </c>
      <c r="B85" s="233" t="s">
        <v>127</v>
      </c>
      <c r="C85" s="268"/>
      <c r="D85" s="179">
        <v>4.956</v>
      </c>
      <c r="E85" s="167">
        <v>0</v>
      </c>
      <c r="F85" s="167">
        <v>0</v>
      </c>
      <c r="G85" s="167">
        <f>D85</f>
        <v>4.956</v>
      </c>
      <c r="H85" s="167">
        <v>0</v>
      </c>
      <c r="I85" s="171">
        <f>301.14407/1000*1.18+228/1000+30.773/1000*1.18+972558.12/1000000*1.18+(3403.86-972.56)/1000*1.18</f>
        <v>4.6362147242</v>
      </c>
      <c r="J85" s="167">
        <v>0</v>
      </c>
      <c r="K85" s="167">
        <v>0</v>
      </c>
      <c r="L85" s="177">
        <f aca="true" t="shared" si="42" ref="L85:L90">I85</f>
        <v>4.6362147242</v>
      </c>
      <c r="M85" s="177">
        <v>0</v>
      </c>
      <c r="N85" s="177">
        <f aca="true" t="shared" si="43" ref="N85:N90">I85-D85</f>
        <v>-0.31978527580000016</v>
      </c>
      <c r="O85" s="167">
        <f aca="true" t="shared" si="44" ref="O85:O90">J85-E85</f>
        <v>0</v>
      </c>
      <c r="P85" s="167">
        <f aca="true" t="shared" si="45" ref="P85:P90">K85-F85</f>
        <v>0</v>
      </c>
      <c r="Q85" s="177">
        <f aca="true" t="shared" si="46" ref="Q85:Q90">L85-G85</f>
        <v>-0.31978527580000016</v>
      </c>
      <c r="R85" s="167">
        <f aca="true" t="shared" si="47" ref="R85:R90">M85-H85</f>
        <v>0</v>
      </c>
      <c r="S85" s="167">
        <f t="shared" si="3"/>
        <v>4.6362147242</v>
      </c>
      <c r="T85" s="167">
        <f t="shared" si="4"/>
        <v>0</v>
      </c>
      <c r="U85" s="167">
        <f t="shared" si="5"/>
        <v>0</v>
      </c>
      <c r="V85" s="167">
        <f t="shared" si="6"/>
        <v>4.6362147242</v>
      </c>
      <c r="W85" s="167">
        <f t="shared" si="7"/>
        <v>0</v>
      </c>
    </row>
    <row r="86" spans="1:23" ht="18.75">
      <c r="A86" s="32" t="s">
        <v>124</v>
      </c>
      <c r="B86" s="233" t="s">
        <v>130</v>
      </c>
      <c r="C86" s="268"/>
      <c r="D86" s="179">
        <v>0.708</v>
      </c>
      <c r="E86" s="167">
        <v>0</v>
      </c>
      <c r="F86" s="167">
        <v>0</v>
      </c>
      <c r="G86" s="167">
        <f>D86</f>
        <v>0.708</v>
      </c>
      <c r="H86" s="167">
        <v>0</v>
      </c>
      <c r="I86" s="167">
        <v>0</v>
      </c>
      <c r="J86" s="167">
        <v>0</v>
      </c>
      <c r="K86" s="167">
        <v>0</v>
      </c>
      <c r="L86" s="177">
        <f t="shared" si="42"/>
        <v>0</v>
      </c>
      <c r="M86" s="167">
        <v>0</v>
      </c>
      <c r="N86" s="177">
        <f t="shared" si="43"/>
        <v>-0.708</v>
      </c>
      <c r="O86" s="167">
        <f t="shared" si="44"/>
        <v>0</v>
      </c>
      <c r="P86" s="167">
        <f t="shared" si="45"/>
        <v>0</v>
      </c>
      <c r="Q86" s="177">
        <f t="shared" si="46"/>
        <v>-0.708</v>
      </c>
      <c r="R86" s="167">
        <f t="shared" si="47"/>
        <v>0</v>
      </c>
      <c r="S86" s="167">
        <f t="shared" si="3"/>
        <v>0</v>
      </c>
      <c r="T86" s="167">
        <f t="shared" si="4"/>
        <v>0</v>
      </c>
      <c r="U86" s="167">
        <f t="shared" si="5"/>
        <v>0</v>
      </c>
      <c r="V86" s="167">
        <f t="shared" si="6"/>
        <v>0</v>
      </c>
      <c r="W86" s="167">
        <f t="shared" si="7"/>
        <v>0</v>
      </c>
    </row>
    <row r="87" spans="1:23" ht="18.75">
      <c r="A87" s="32" t="s">
        <v>124</v>
      </c>
      <c r="B87" s="233" t="s">
        <v>132</v>
      </c>
      <c r="C87" s="268"/>
      <c r="D87" s="179">
        <v>1.395495460959988</v>
      </c>
      <c r="E87" s="167">
        <v>0</v>
      </c>
      <c r="F87" s="167">
        <v>0</v>
      </c>
      <c r="G87" s="167">
        <f>D87</f>
        <v>1.395495460959988</v>
      </c>
      <c r="H87" s="167">
        <v>0</v>
      </c>
      <c r="I87" s="171">
        <f>1569.1/1000*1.18</f>
        <v>1.851538</v>
      </c>
      <c r="J87" s="167">
        <v>0</v>
      </c>
      <c r="K87" s="167">
        <v>0</v>
      </c>
      <c r="L87" s="177">
        <f t="shared" si="42"/>
        <v>1.851538</v>
      </c>
      <c r="M87" s="167">
        <v>0</v>
      </c>
      <c r="N87" s="177">
        <f t="shared" si="43"/>
        <v>0.4560425390400118</v>
      </c>
      <c r="O87" s="167">
        <f t="shared" si="44"/>
        <v>0</v>
      </c>
      <c r="P87" s="167">
        <f t="shared" si="45"/>
        <v>0</v>
      </c>
      <c r="Q87" s="177">
        <f t="shared" si="46"/>
        <v>0.4560425390400118</v>
      </c>
      <c r="R87" s="167">
        <f t="shared" si="47"/>
        <v>0</v>
      </c>
      <c r="S87" s="167">
        <f aca="true" t="shared" si="48" ref="S87:W90">I87</f>
        <v>1.851538</v>
      </c>
      <c r="T87" s="167">
        <f t="shared" si="48"/>
        <v>0</v>
      </c>
      <c r="U87" s="167">
        <f t="shared" si="48"/>
        <v>0</v>
      </c>
      <c r="V87" s="167">
        <f t="shared" si="48"/>
        <v>1.851538</v>
      </c>
      <c r="W87" s="167">
        <f t="shared" si="48"/>
        <v>0</v>
      </c>
    </row>
    <row r="88" spans="1:23" ht="18.75">
      <c r="A88" s="32"/>
      <c r="B88" s="183" t="s">
        <v>139</v>
      </c>
      <c r="C88" s="268"/>
      <c r="D88" s="167">
        <v>0</v>
      </c>
      <c r="E88" s="167">
        <v>0</v>
      </c>
      <c r="F88" s="167">
        <v>0</v>
      </c>
      <c r="G88" s="167">
        <v>0</v>
      </c>
      <c r="H88" s="167">
        <v>0</v>
      </c>
      <c r="I88" s="184">
        <f>516.545/1000*1.18</f>
        <v>0.6095230999999999</v>
      </c>
      <c r="J88" s="167">
        <v>0</v>
      </c>
      <c r="K88" s="167">
        <v>0</v>
      </c>
      <c r="L88" s="177">
        <f t="shared" si="42"/>
        <v>0.6095230999999999</v>
      </c>
      <c r="M88" s="167">
        <v>0</v>
      </c>
      <c r="N88" s="177">
        <f t="shared" si="43"/>
        <v>0.6095230999999999</v>
      </c>
      <c r="O88" s="167">
        <f t="shared" si="44"/>
        <v>0</v>
      </c>
      <c r="P88" s="167">
        <f t="shared" si="45"/>
        <v>0</v>
      </c>
      <c r="Q88" s="177">
        <f t="shared" si="46"/>
        <v>0.6095230999999999</v>
      </c>
      <c r="R88" s="167">
        <f t="shared" si="47"/>
        <v>0</v>
      </c>
      <c r="S88" s="167">
        <f t="shared" si="48"/>
        <v>0.6095230999999999</v>
      </c>
      <c r="T88" s="167">
        <f t="shared" si="48"/>
        <v>0</v>
      </c>
      <c r="U88" s="167">
        <f t="shared" si="48"/>
        <v>0</v>
      </c>
      <c r="V88" s="167">
        <f t="shared" si="48"/>
        <v>0.6095230999999999</v>
      </c>
      <c r="W88" s="167">
        <f t="shared" si="48"/>
        <v>0</v>
      </c>
    </row>
    <row r="89" spans="1:23" ht="31.5">
      <c r="A89" s="32"/>
      <c r="B89" s="183" t="s">
        <v>141</v>
      </c>
      <c r="C89" s="268"/>
      <c r="D89" s="167">
        <v>0</v>
      </c>
      <c r="E89" s="167">
        <v>0</v>
      </c>
      <c r="F89" s="167">
        <v>0</v>
      </c>
      <c r="G89" s="167">
        <v>0</v>
      </c>
      <c r="H89" s="167">
        <v>0</v>
      </c>
      <c r="I89" s="184">
        <f>69.28064/1000*1.18</f>
        <v>0.0817511552</v>
      </c>
      <c r="J89" s="167">
        <v>0</v>
      </c>
      <c r="K89" s="167">
        <v>0</v>
      </c>
      <c r="L89" s="177">
        <f t="shared" si="42"/>
        <v>0.0817511552</v>
      </c>
      <c r="M89" s="167">
        <v>0</v>
      </c>
      <c r="N89" s="177">
        <f t="shared" si="43"/>
        <v>0.0817511552</v>
      </c>
      <c r="O89" s="167">
        <f t="shared" si="44"/>
        <v>0</v>
      </c>
      <c r="P89" s="167">
        <f t="shared" si="45"/>
        <v>0</v>
      </c>
      <c r="Q89" s="177">
        <f t="shared" si="46"/>
        <v>0.0817511552</v>
      </c>
      <c r="R89" s="167">
        <f t="shared" si="47"/>
        <v>0</v>
      </c>
      <c r="S89" s="167">
        <f t="shared" si="48"/>
        <v>0.0817511552</v>
      </c>
      <c r="T89" s="167">
        <f t="shared" si="48"/>
        <v>0</v>
      </c>
      <c r="U89" s="167">
        <f t="shared" si="48"/>
        <v>0</v>
      </c>
      <c r="V89" s="167">
        <f t="shared" si="48"/>
        <v>0.0817511552</v>
      </c>
      <c r="W89" s="167">
        <f t="shared" si="48"/>
        <v>0</v>
      </c>
    </row>
    <row r="90" spans="1:23" ht="27.75" customHeight="1">
      <c r="A90" s="32" t="s">
        <v>124</v>
      </c>
      <c r="B90" s="183" t="s">
        <v>143</v>
      </c>
      <c r="C90" s="268"/>
      <c r="D90" s="167">
        <v>0</v>
      </c>
      <c r="E90" s="167">
        <v>0</v>
      </c>
      <c r="F90" s="167">
        <v>0</v>
      </c>
      <c r="G90" s="167">
        <v>0</v>
      </c>
      <c r="H90" s="167">
        <v>0</v>
      </c>
      <c r="I90" s="185">
        <f>8027.96298/1000*1.18+72.0339/1000*1.18+6.22322/1000*1.18</f>
        <v>9.565339717999999</v>
      </c>
      <c r="J90" s="167">
        <v>0</v>
      </c>
      <c r="K90" s="167">
        <v>0</v>
      </c>
      <c r="L90" s="177">
        <f t="shared" si="42"/>
        <v>9.565339717999999</v>
      </c>
      <c r="M90" s="179">
        <v>0</v>
      </c>
      <c r="N90" s="177">
        <f t="shared" si="43"/>
        <v>9.565339717999999</v>
      </c>
      <c r="O90" s="167">
        <f t="shared" si="44"/>
        <v>0</v>
      </c>
      <c r="P90" s="167">
        <f t="shared" si="45"/>
        <v>0</v>
      </c>
      <c r="Q90" s="177">
        <f t="shared" si="46"/>
        <v>9.565339717999999</v>
      </c>
      <c r="R90" s="167">
        <f t="shared" si="47"/>
        <v>0</v>
      </c>
      <c r="S90" s="167">
        <f t="shared" si="48"/>
        <v>9.565339717999999</v>
      </c>
      <c r="T90" s="167">
        <f t="shared" si="48"/>
        <v>0</v>
      </c>
      <c r="U90" s="167">
        <f t="shared" si="48"/>
        <v>0</v>
      </c>
      <c r="V90" s="167">
        <f t="shared" si="48"/>
        <v>9.565339717999999</v>
      </c>
      <c r="W90" s="167">
        <f t="shared" si="48"/>
        <v>0</v>
      </c>
    </row>
    <row r="91" spans="6:8" ht="15.75">
      <c r="F91" s="4"/>
      <c r="G91" s="4"/>
      <c r="H91" s="4"/>
    </row>
    <row r="94" ht="15.75">
      <c r="D94" s="265"/>
    </row>
  </sheetData>
  <sheetProtection selectLockedCells="1" selectUnlockedCells="1"/>
  <mergeCells count="15">
    <mergeCell ref="I16:M17"/>
    <mergeCell ref="N16:R17"/>
    <mergeCell ref="S16:W17"/>
    <mergeCell ref="A16:A18"/>
    <mergeCell ref="B16:B18"/>
    <mergeCell ref="C16:C18"/>
    <mergeCell ref="D16:H17"/>
    <mergeCell ref="A4:W4"/>
    <mergeCell ref="A6:W6"/>
    <mergeCell ref="A7:W7"/>
    <mergeCell ref="A9:W9"/>
    <mergeCell ref="A10:W10"/>
    <mergeCell ref="A12:W12"/>
    <mergeCell ref="A13:W13"/>
    <mergeCell ref="A15:W15"/>
  </mergeCells>
  <dataValidations count="2">
    <dataValidation type="textLength" operator="lessThanOrEqual" allowBlank="1" showErrorMessage="1" errorTitle="Ошибка" error="Допускается ввод не более 900 символов!" sqref="B85:B87 B66:B83 B60:B64 B28 B35:B58">
      <formula1>900</formula1>
    </dataValidation>
    <dataValidation type="decimal" allowBlank="1" showErrorMessage="1" errorTitle="Ошибка" error="Допускается ввод только неотрицательных чисел!" sqref="D88:D89 H85:H89 D39:D40">
      <formula1>0</formula1>
      <formula2>9.99999999999999E+23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27" r:id="rId1"/>
  <rowBreaks count="1" manualBreakCount="1">
    <brk id="27" max="255" man="1"/>
  </rowBreaks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88"/>
  <sheetViews>
    <sheetView view="pageBreakPreview" zoomScaleNormal="85" zoomScaleSheetLayoutView="100" zoomScalePageLayoutView="0" workbookViewId="0" topLeftCell="B7">
      <pane xSplit="1" topLeftCell="C2" activePane="topRight" state="frozen"/>
      <selection pane="topLeft" activeCell="B67" sqref="B67"/>
      <selection pane="topRight" activeCell="A12" sqref="A12:BZ12"/>
    </sheetView>
  </sheetViews>
  <sheetFormatPr defaultColWidth="9.8515625" defaultRowHeight="12.75"/>
  <cols>
    <col min="1" max="1" width="14.8515625" style="1" customWidth="1"/>
    <col min="2" max="2" width="65.28125" style="186" customWidth="1"/>
    <col min="3" max="3" width="16.8515625" style="1" customWidth="1"/>
    <col min="4" max="4" width="15.7109375" style="3" customWidth="1"/>
    <col min="5" max="5" width="14.421875" style="3" customWidth="1"/>
    <col min="6" max="6" width="9.57421875" style="3" customWidth="1"/>
    <col min="7" max="7" width="9.00390625" style="3" customWidth="1"/>
    <col min="8" max="8" width="9.57421875" style="3" customWidth="1"/>
    <col min="9" max="9" width="7.28125" style="3" customWidth="1"/>
    <col min="10" max="10" width="9.00390625" style="3" customWidth="1"/>
    <col min="11" max="11" width="15.7109375" style="3" customWidth="1"/>
    <col min="12" max="12" width="11.8515625" style="3" customWidth="1"/>
    <col min="13" max="14" width="8.7109375" style="3" customWidth="1"/>
    <col min="15" max="17" width="9.00390625" style="3" customWidth="1"/>
    <col min="18" max="18" width="15.140625" style="3" customWidth="1"/>
    <col min="19" max="19" width="10.421875" style="3" customWidth="1"/>
    <col min="20" max="20" width="7.28125" style="3" customWidth="1"/>
    <col min="21" max="21" width="10.7109375" style="3" customWidth="1"/>
    <col min="22" max="22" width="9.28125" style="3" customWidth="1"/>
    <col min="23" max="23" width="8.57421875" style="3" customWidth="1"/>
    <col min="24" max="24" width="8.00390625" style="3" customWidth="1"/>
    <col min="25" max="25" width="16.00390625" style="3" customWidth="1"/>
    <col min="26" max="26" width="11.28125" style="3" customWidth="1"/>
    <col min="27" max="27" width="8.7109375" style="3" customWidth="1"/>
    <col min="28" max="28" width="8.57421875" style="3" customWidth="1"/>
    <col min="29" max="30" width="7.28125" style="3" customWidth="1"/>
    <col min="31" max="31" width="8.140625" style="3" customWidth="1"/>
    <col min="32" max="32" width="16.00390625" style="3" customWidth="1"/>
    <col min="33" max="33" width="13.28125" style="3" customWidth="1"/>
    <col min="34" max="34" width="8.28125" style="3" customWidth="1"/>
    <col min="35" max="35" width="8.57421875" style="3" customWidth="1"/>
    <col min="36" max="36" width="7.28125" style="3" customWidth="1"/>
    <col min="37" max="37" width="9.00390625" style="3" customWidth="1"/>
    <col min="38" max="38" width="7.28125" style="3" customWidth="1"/>
    <col min="39" max="39" width="15.28125" style="3" customWidth="1"/>
    <col min="40" max="40" width="11.421875" style="3" customWidth="1"/>
    <col min="41" max="41" width="7.28125" style="3" customWidth="1"/>
    <col min="42" max="43" width="9.00390625" style="3" customWidth="1"/>
    <col min="44" max="44" width="8.421875" style="3" customWidth="1"/>
    <col min="45" max="45" width="8.7109375" style="3" customWidth="1"/>
    <col min="46" max="46" width="15.8515625" style="3" customWidth="1"/>
    <col min="47" max="47" width="11.28125" style="3" customWidth="1"/>
    <col min="48" max="48" width="9.7109375" style="3" customWidth="1"/>
    <col min="49" max="50" width="7.28125" style="3" customWidth="1"/>
    <col min="51" max="51" width="9.28125" style="3" customWidth="1"/>
    <col min="52" max="52" width="9.00390625" style="3" customWidth="1"/>
    <col min="53" max="53" width="15.7109375" style="3" customWidth="1"/>
    <col min="54" max="54" width="11.00390625" style="280" customWidth="1"/>
    <col min="55" max="55" width="9.7109375" style="280" customWidth="1"/>
    <col min="56" max="56" width="10.421875" style="280" customWidth="1"/>
    <col min="57" max="57" width="11.00390625" style="280" customWidth="1"/>
    <col min="58" max="59" width="7.28125" style="280" customWidth="1"/>
    <col min="60" max="60" width="16.28125" style="280" customWidth="1"/>
    <col min="61" max="61" width="10.00390625" style="280" customWidth="1"/>
    <col min="62" max="63" width="9.28125" style="280" customWidth="1"/>
    <col min="64" max="64" width="10.8515625" style="280" customWidth="1"/>
    <col min="65" max="65" width="8.28125" style="280" customWidth="1"/>
    <col min="66" max="66" width="8.7109375" style="280" customWidth="1"/>
    <col min="67" max="67" width="15.7109375" style="280" customWidth="1"/>
    <col min="68" max="68" width="11.00390625" style="280" customWidth="1"/>
    <col min="69" max="70" width="7.28125" style="3" customWidth="1"/>
    <col min="71" max="71" width="8.28125" style="3" customWidth="1"/>
    <col min="72" max="72" width="9.28125" style="3" customWidth="1"/>
    <col min="73" max="73" width="8.57421875" style="3" customWidth="1"/>
    <col min="74" max="74" width="13.7109375" style="187" customWidth="1"/>
    <col min="75" max="75" width="17.28125" style="6" customWidth="1"/>
    <col min="76" max="76" width="15.140625" style="187" customWidth="1"/>
    <col min="77" max="77" width="11.140625" style="5" customWidth="1"/>
    <col min="78" max="78" width="36.7109375" style="27" customWidth="1"/>
    <col min="79" max="79" width="18.28125" style="155" customWidth="1"/>
    <col min="80" max="16384" width="9.8515625" style="155" customWidth="1"/>
  </cols>
  <sheetData>
    <row r="1" spans="1:78" ht="18.75">
      <c r="A1" s="90"/>
      <c r="AE1" s="24"/>
      <c r="AF1" s="24"/>
      <c r="AG1" s="24"/>
      <c r="AH1" s="24"/>
      <c r="AI1" s="24"/>
      <c r="AJ1" s="24"/>
      <c r="AK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Q1" s="24"/>
      <c r="BR1" s="24"/>
      <c r="BS1" s="24"/>
      <c r="BT1" s="24"/>
      <c r="BU1" s="24"/>
      <c r="BV1" s="188"/>
      <c r="BW1" s="28"/>
      <c r="BX1" s="188"/>
      <c r="BY1" s="27"/>
      <c r="BZ1" s="189" t="s">
        <v>224</v>
      </c>
    </row>
    <row r="2" spans="31:78" ht="18.75">
      <c r="AE2" s="24"/>
      <c r="AF2" s="24"/>
      <c r="AG2" s="24"/>
      <c r="AH2" s="24"/>
      <c r="AI2" s="24"/>
      <c r="AJ2" s="24"/>
      <c r="AK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Q2" s="24"/>
      <c r="BR2" s="24"/>
      <c r="BS2" s="24"/>
      <c r="BT2" s="24"/>
      <c r="BU2" s="24"/>
      <c r="BV2" s="188"/>
      <c r="BW2" s="28"/>
      <c r="BX2" s="188"/>
      <c r="BY2" s="27"/>
      <c r="BZ2" s="189" t="s">
        <v>2</v>
      </c>
    </row>
    <row r="3" spans="31:78" ht="18.75">
      <c r="AE3" s="24"/>
      <c r="AF3" s="24"/>
      <c r="AG3" s="24"/>
      <c r="AH3" s="24"/>
      <c r="AI3" s="24"/>
      <c r="AJ3" s="24"/>
      <c r="AK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Q3" s="24"/>
      <c r="BR3" s="24"/>
      <c r="BS3" s="24"/>
      <c r="BT3" s="24"/>
      <c r="BU3" s="24"/>
      <c r="BV3" s="188"/>
      <c r="BW3" s="28"/>
      <c r="BX3" s="188"/>
      <c r="BY3" s="27"/>
      <c r="BZ3" s="189" t="s">
        <v>3</v>
      </c>
    </row>
    <row r="4" spans="1:78" s="7" customFormat="1" ht="18.75">
      <c r="A4" s="345" t="s">
        <v>212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</row>
    <row r="5" spans="1:78" s="7" customFormat="1" ht="18.75">
      <c r="A5" s="1"/>
      <c r="B5" s="186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Z5" s="190"/>
    </row>
    <row r="6" spans="1:78" s="7" customFormat="1" ht="18.75" customHeight="1">
      <c r="A6" s="346" t="s">
        <v>257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</row>
    <row r="7" spans="1:78" s="7" customFormat="1" ht="18.75" customHeight="1">
      <c r="A7" s="346" t="s">
        <v>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</row>
    <row r="8" spans="1:78" s="7" customFormat="1" ht="18.75">
      <c r="A8" s="12"/>
      <c r="B8" s="191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Z8" s="190"/>
    </row>
    <row r="9" spans="1:78" s="7" customFormat="1" ht="15.75">
      <c r="A9" s="344" t="s">
        <v>146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</row>
    <row r="10" spans="1:78" s="7" customFormat="1" ht="15.7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Z10" s="190"/>
    </row>
    <row r="11" spans="1:78" s="7" customFormat="1" ht="15.75">
      <c r="A11" s="16"/>
      <c r="B11" s="192"/>
      <c r="C11" s="16"/>
      <c r="D11" s="91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Z11" s="190"/>
    </row>
    <row r="12" spans="1:78" s="7" customFormat="1" ht="18.75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</row>
    <row r="13" spans="1:79" ht="15.75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193"/>
      <c r="BR13" s="193"/>
      <c r="BS13" s="193"/>
      <c r="BT13" s="193"/>
      <c r="BU13" s="193"/>
      <c r="BV13" s="194"/>
      <c r="BW13" s="195"/>
      <c r="BX13" s="194"/>
      <c r="BY13" s="19"/>
      <c r="BZ13" s="196"/>
      <c r="CA13" s="126"/>
    </row>
    <row r="14" spans="1:79" ht="15.75">
      <c r="A14" s="23"/>
      <c r="B14" s="197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98"/>
      <c r="AR14" s="198"/>
      <c r="AS14" s="198"/>
      <c r="AT14" s="198"/>
      <c r="AU14" s="199"/>
      <c r="AV14" s="198"/>
      <c r="AW14" s="198"/>
      <c r="AX14" s="198"/>
      <c r="AY14" s="198"/>
      <c r="AZ14" s="198"/>
      <c r="BA14" s="198"/>
      <c r="BB14" s="312"/>
      <c r="BQ14" s="24"/>
      <c r="BR14" s="24"/>
      <c r="BS14" s="24"/>
      <c r="BT14" s="24"/>
      <c r="BU14" s="24"/>
      <c r="BV14" s="188"/>
      <c r="BW14" s="28"/>
      <c r="BX14" s="188"/>
      <c r="BY14" s="27"/>
      <c r="CA14" s="182"/>
    </row>
    <row r="15" spans="1:79" ht="23.25" customHeight="1">
      <c r="A15" s="363" t="s">
        <v>225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182"/>
    </row>
    <row r="16" spans="1:89" ht="31.5" customHeight="1">
      <c r="A16" s="364" t="s">
        <v>8</v>
      </c>
      <c r="B16" s="365" t="s">
        <v>226</v>
      </c>
      <c r="C16" s="365" t="s">
        <v>148</v>
      </c>
      <c r="D16" s="364" t="s">
        <v>227</v>
      </c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7" t="s">
        <v>227</v>
      </c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8" t="s">
        <v>228</v>
      </c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</row>
    <row r="17" spans="1:89" ht="26.25" customHeight="1">
      <c r="A17" s="364"/>
      <c r="B17" s="365"/>
      <c r="C17" s="365"/>
      <c r="D17" s="364" t="s">
        <v>30</v>
      </c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 t="s">
        <v>31</v>
      </c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52" t="s">
        <v>229</v>
      </c>
      <c r="BW17" s="352"/>
      <c r="BX17" s="352"/>
      <c r="BY17" s="352"/>
      <c r="BZ17" s="368"/>
      <c r="CA17" s="201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</row>
    <row r="18" spans="1:89" ht="28.5" customHeight="1">
      <c r="A18" s="364"/>
      <c r="B18" s="365"/>
      <c r="C18" s="365"/>
      <c r="D18" s="365" t="s">
        <v>20</v>
      </c>
      <c r="E18" s="365"/>
      <c r="F18" s="365"/>
      <c r="G18" s="365"/>
      <c r="H18" s="365"/>
      <c r="I18" s="365"/>
      <c r="J18" s="365"/>
      <c r="K18" s="365" t="s">
        <v>21</v>
      </c>
      <c r="L18" s="365"/>
      <c r="M18" s="365"/>
      <c r="N18" s="365"/>
      <c r="O18" s="365"/>
      <c r="P18" s="365"/>
      <c r="Q18" s="365"/>
      <c r="R18" s="365" t="s">
        <v>22</v>
      </c>
      <c r="S18" s="365"/>
      <c r="T18" s="365"/>
      <c r="U18" s="365"/>
      <c r="V18" s="365"/>
      <c r="W18" s="365"/>
      <c r="X18" s="365"/>
      <c r="Y18" s="361" t="s">
        <v>230</v>
      </c>
      <c r="Z18" s="361"/>
      <c r="AA18" s="361"/>
      <c r="AB18" s="361"/>
      <c r="AC18" s="361"/>
      <c r="AD18" s="361"/>
      <c r="AE18" s="361"/>
      <c r="AF18" s="364" t="s">
        <v>24</v>
      </c>
      <c r="AG18" s="364"/>
      <c r="AH18" s="364"/>
      <c r="AI18" s="364"/>
      <c r="AJ18" s="364"/>
      <c r="AK18" s="364"/>
      <c r="AL18" s="364"/>
      <c r="AM18" s="365" t="s">
        <v>20</v>
      </c>
      <c r="AN18" s="365"/>
      <c r="AO18" s="365"/>
      <c r="AP18" s="365"/>
      <c r="AQ18" s="365"/>
      <c r="AR18" s="365"/>
      <c r="AS18" s="365"/>
      <c r="AT18" s="365" t="s">
        <v>21</v>
      </c>
      <c r="AU18" s="365"/>
      <c r="AV18" s="365"/>
      <c r="AW18" s="365"/>
      <c r="AX18" s="365"/>
      <c r="AY18" s="365"/>
      <c r="AZ18" s="365"/>
      <c r="BA18" s="365" t="s">
        <v>22</v>
      </c>
      <c r="BB18" s="365"/>
      <c r="BC18" s="365"/>
      <c r="BD18" s="365"/>
      <c r="BE18" s="365"/>
      <c r="BF18" s="365"/>
      <c r="BG18" s="365"/>
      <c r="BH18" s="369" t="s">
        <v>230</v>
      </c>
      <c r="BI18" s="369"/>
      <c r="BJ18" s="369"/>
      <c r="BK18" s="369"/>
      <c r="BL18" s="369"/>
      <c r="BM18" s="369"/>
      <c r="BN18" s="369"/>
      <c r="BO18" s="364" t="s">
        <v>24</v>
      </c>
      <c r="BP18" s="364"/>
      <c r="BQ18" s="364"/>
      <c r="BR18" s="364"/>
      <c r="BS18" s="364"/>
      <c r="BT18" s="364"/>
      <c r="BU18" s="364"/>
      <c r="BV18" s="352"/>
      <c r="BW18" s="352"/>
      <c r="BX18" s="352"/>
      <c r="BY18" s="352"/>
      <c r="BZ18" s="368"/>
      <c r="CA18" s="201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</row>
    <row r="19" spans="1:89" ht="51.75" customHeight="1">
      <c r="A19" s="364"/>
      <c r="B19" s="365"/>
      <c r="C19" s="365"/>
      <c r="D19" s="200" t="s">
        <v>231</v>
      </c>
      <c r="E19" s="364" t="s">
        <v>232</v>
      </c>
      <c r="F19" s="364"/>
      <c r="G19" s="364"/>
      <c r="H19" s="364"/>
      <c r="I19" s="364"/>
      <c r="J19" s="364"/>
      <c r="K19" s="200" t="s">
        <v>231</v>
      </c>
      <c r="L19" s="364" t="s">
        <v>232</v>
      </c>
      <c r="M19" s="364"/>
      <c r="N19" s="364"/>
      <c r="O19" s="364"/>
      <c r="P19" s="364"/>
      <c r="Q19" s="364"/>
      <c r="R19" s="200" t="s">
        <v>231</v>
      </c>
      <c r="S19" s="364" t="s">
        <v>232</v>
      </c>
      <c r="T19" s="364"/>
      <c r="U19" s="364"/>
      <c r="V19" s="364"/>
      <c r="W19" s="364"/>
      <c r="X19" s="364"/>
      <c r="Y19" s="200" t="s">
        <v>231</v>
      </c>
      <c r="Z19" s="364" t="s">
        <v>232</v>
      </c>
      <c r="AA19" s="364"/>
      <c r="AB19" s="364"/>
      <c r="AC19" s="364"/>
      <c r="AD19" s="364"/>
      <c r="AE19" s="364"/>
      <c r="AF19" s="200" t="s">
        <v>231</v>
      </c>
      <c r="AG19" s="364" t="s">
        <v>232</v>
      </c>
      <c r="AH19" s="364"/>
      <c r="AI19" s="364"/>
      <c r="AJ19" s="364"/>
      <c r="AK19" s="364"/>
      <c r="AL19" s="364"/>
      <c r="AM19" s="200" t="s">
        <v>231</v>
      </c>
      <c r="AN19" s="364" t="s">
        <v>232</v>
      </c>
      <c r="AO19" s="364"/>
      <c r="AP19" s="364"/>
      <c r="AQ19" s="364"/>
      <c r="AR19" s="364"/>
      <c r="AS19" s="364"/>
      <c r="AT19" s="200" t="s">
        <v>231</v>
      </c>
      <c r="AU19" s="364" t="s">
        <v>232</v>
      </c>
      <c r="AV19" s="364"/>
      <c r="AW19" s="364"/>
      <c r="AX19" s="364"/>
      <c r="AY19" s="364"/>
      <c r="AZ19" s="364"/>
      <c r="BA19" s="200" t="s">
        <v>231</v>
      </c>
      <c r="BB19" s="366" t="s">
        <v>232</v>
      </c>
      <c r="BC19" s="366"/>
      <c r="BD19" s="366"/>
      <c r="BE19" s="366"/>
      <c r="BF19" s="366"/>
      <c r="BG19" s="366"/>
      <c r="BH19" s="313" t="s">
        <v>231</v>
      </c>
      <c r="BI19" s="366" t="s">
        <v>232</v>
      </c>
      <c r="BJ19" s="366"/>
      <c r="BK19" s="366"/>
      <c r="BL19" s="366"/>
      <c r="BM19" s="366"/>
      <c r="BN19" s="366"/>
      <c r="BO19" s="313" t="s">
        <v>231</v>
      </c>
      <c r="BP19" s="364" t="s">
        <v>232</v>
      </c>
      <c r="BQ19" s="364"/>
      <c r="BR19" s="364"/>
      <c r="BS19" s="364"/>
      <c r="BT19" s="364"/>
      <c r="BU19" s="364"/>
      <c r="BV19" s="352" t="s">
        <v>232</v>
      </c>
      <c r="BW19" s="352"/>
      <c r="BX19" s="352" t="s">
        <v>231</v>
      </c>
      <c r="BY19" s="352"/>
      <c r="BZ19" s="368"/>
      <c r="CA19" s="201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</row>
    <row r="20" spans="1:89" ht="63" customHeight="1">
      <c r="A20" s="364"/>
      <c r="B20" s="365"/>
      <c r="C20" s="365"/>
      <c r="D20" s="202" t="s">
        <v>233</v>
      </c>
      <c r="E20" s="202" t="s">
        <v>233</v>
      </c>
      <c r="F20" s="203" t="s">
        <v>234</v>
      </c>
      <c r="G20" s="203" t="s">
        <v>235</v>
      </c>
      <c r="H20" s="203" t="s">
        <v>236</v>
      </c>
      <c r="I20" s="203" t="s">
        <v>237</v>
      </c>
      <c r="J20" s="203" t="s">
        <v>238</v>
      </c>
      <c r="K20" s="202" t="s">
        <v>233</v>
      </c>
      <c r="L20" s="202" t="s">
        <v>233</v>
      </c>
      <c r="M20" s="203" t="s">
        <v>234</v>
      </c>
      <c r="N20" s="203" t="s">
        <v>235</v>
      </c>
      <c r="O20" s="203" t="s">
        <v>236</v>
      </c>
      <c r="P20" s="203" t="s">
        <v>237</v>
      </c>
      <c r="Q20" s="203" t="s">
        <v>238</v>
      </c>
      <c r="R20" s="202" t="s">
        <v>233</v>
      </c>
      <c r="S20" s="202" t="s">
        <v>233</v>
      </c>
      <c r="T20" s="203" t="s">
        <v>234</v>
      </c>
      <c r="U20" s="203" t="s">
        <v>235</v>
      </c>
      <c r="V20" s="203" t="s">
        <v>236</v>
      </c>
      <c r="W20" s="203" t="s">
        <v>237</v>
      </c>
      <c r="X20" s="203" t="s">
        <v>238</v>
      </c>
      <c r="Y20" s="202" t="s">
        <v>233</v>
      </c>
      <c r="Z20" s="202" t="s">
        <v>233</v>
      </c>
      <c r="AA20" s="203" t="s">
        <v>234</v>
      </c>
      <c r="AB20" s="203" t="s">
        <v>235</v>
      </c>
      <c r="AC20" s="203" t="s">
        <v>236</v>
      </c>
      <c r="AD20" s="203" t="s">
        <v>237</v>
      </c>
      <c r="AE20" s="203" t="s">
        <v>238</v>
      </c>
      <c r="AF20" s="202" t="s">
        <v>233</v>
      </c>
      <c r="AG20" s="202" t="s">
        <v>233</v>
      </c>
      <c r="AH20" s="203" t="s">
        <v>234</v>
      </c>
      <c r="AI20" s="203" t="s">
        <v>235</v>
      </c>
      <c r="AJ20" s="203" t="s">
        <v>236</v>
      </c>
      <c r="AK20" s="203" t="s">
        <v>237</v>
      </c>
      <c r="AL20" s="203" t="s">
        <v>238</v>
      </c>
      <c r="AM20" s="202" t="s">
        <v>233</v>
      </c>
      <c r="AN20" s="202" t="s">
        <v>233</v>
      </c>
      <c r="AO20" s="203" t="s">
        <v>234</v>
      </c>
      <c r="AP20" s="203" t="s">
        <v>235</v>
      </c>
      <c r="AQ20" s="203" t="s">
        <v>236</v>
      </c>
      <c r="AR20" s="203" t="s">
        <v>237</v>
      </c>
      <c r="AS20" s="203" t="s">
        <v>238</v>
      </c>
      <c r="AT20" s="202" t="s">
        <v>233</v>
      </c>
      <c r="AU20" s="202" t="s">
        <v>233</v>
      </c>
      <c r="AV20" s="203" t="s">
        <v>234</v>
      </c>
      <c r="AW20" s="203" t="s">
        <v>235</v>
      </c>
      <c r="AX20" s="203" t="s">
        <v>236</v>
      </c>
      <c r="AY20" s="203" t="s">
        <v>237</v>
      </c>
      <c r="AZ20" s="203" t="s">
        <v>238</v>
      </c>
      <c r="BA20" s="202" t="s">
        <v>233</v>
      </c>
      <c r="BB20" s="282" t="s">
        <v>233</v>
      </c>
      <c r="BC20" s="314" t="s">
        <v>234</v>
      </c>
      <c r="BD20" s="314" t="s">
        <v>235</v>
      </c>
      <c r="BE20" s="314" t="s">
        <v>236</v>
      </c>
      <c r="BF20" s="314" t="s">
        <v>237</v>
      </c>
      <c r="BG20" s="314" t="s">
        <v>238</v>
      </c>
      <c r="BH20" s="282" t="s">
        <v>233</v>
      </c>
      <c r="BI20" s="282" t="s">
        <v>233</v>
      </c>
      <c r="BJ20" s="314" t="s">
        <v>234</v>
      </c>
      <c r="BK20" s="314" t="s">
        <v>235</v>
      </c>
      <c r="BL20" s="314" t="s">
        <v>236</v>
      </c>
      <c r="BM20" s="314" t="s">
        <v>237</v>
      </c>
      <c r="BN20" s="314" t="s">
        <v>238</v>
      </c>
      <c r="BO20" s="282" t="s">
        <v>233</v>
      </c>
      <c r="BP20" s="282" t="s">
        <v>233</v>
      </c>
      <c r="BQ20" s="203" t="s">
        <v>234</v>
      </c>
      <c r="BR20" s="203" t="s">
        <v>235</v>
      </c>
      <c r="BS20" s="203" t="s">
        <v>236</v>
      </c>
      <c r="BT20" s="203" t="s">
        <v>237</v>
      </c>
      <c r="BU20" s="203" t="s">
        <v>238</v>
      </c>
      <c r="BV20" s="204" t="s">
        <v>189</v>
      </c>
      <c r="BW20" s="205" t="s">
        <v>26</v>
      </c>
      <c r="BX20" s="204" t="s">
        <v>189</v>
      </c>
      <c r="BY20" s="206" t="s">
        <v>26</v>
      </c>
      <c r="BZ20" s="368"/>
      <c r="CA20" s="201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</row>
    <row r="21" spans="1:89" ht="15.75">
      <c r="A21" s="207">
        <v>1</v>
      </c>
      <c r="B21" s="271">
        <v>2</v>
      </c>
      <c r="C21" s="272">
        <v>3</v>
      </c>
      <c r="D21" s="272">
        <v>4</v>
      </c>
      <c r="E21" s="272">
        <v>5</v>
      </c>
      <c r="F21" s="272">
        <v>6</v>
      </c>
      <c r="G21" s="272">
        <v>7</v>
      </c>
      <c r="H21" s="272">
        <v>8</v>
      </c>
      <c r="I21" s="272">
        <v>9</v>
      </c>
      <c r="J21" s="272">
        <v>10</v>
      </c>
      <c r="K21" s="272">
        <v>11</v>
      </c>
      <c r="L21" s="272">
        <v>12</v>
      </c>
      <c r="M21" s="272">
        <v>13</v>
      </c>
      <c r="N21" s="272">
        <v>14</v>
      </c>
      <c r="O21" s="272">
        <v>15</v>
      </c>
      <c r="P21" s="272">
        <v>16</v>
      </c>
      <c r="Q21" s="272">
        <v>17</v>
      </c>
      <c r="R21" s="272">
        <v>18</v>
      </c>
      <c r="S21" s="272">
        <v>19</v>
      </c>
      <c r="T21" s="272">
        <v>20</v>
      </c>
      <c r="U21" s="272">
        <v>21</v>
      </c>
      <c r="V21" s="272">
        <v>22</v>
      </c>
      <c r="W21" s="272">
        <v>23</v>
      </c>
      <c r="X21" s="272">
        <v>24</v>
      </c>
      <c r="Y21" s="272">
        <v>25</v>
      </c>
      <c r="Z21" s="272">
        <v>26</v>
      </c>
      <c r="AA21" s="272">
        <v>27</v>
      </c>
      <c r="AB21" s="272">
        <v>28</v>
      </c>
      <c r="AC21" s="272">
        <v>29</v>
      </c>
      <c r="AD21" s="272">
        <v>30</v>
      </c>
      <c r="AE21" s="272">
        <v>31</v>
      </c>
      <c r="AF21" s="272">
        <v>32</v>
      </c>
      <c r="AG21" s="272">
        <v>33</v>
      </c>
      <c r="AH21" s="272">
        <v>34</v>
      </c>
      <c r="AI21" s="272">
        <v>35</v>
      </c>
      <c r="AJ21" s="272">
        <v>36</v>
      </c>
      <c r="AK21" s="272">
        <v>37</v>
      </c>
      <c r="AL21" s="272">
        <v>38</v>
      </c>
      <c r="AM21" s="272">
        <v>39</v>
      </c>
      <c r="AN21" s="272">
        <v>40</v>
      </c>
      <c r="AO21" s="272">
        <v>41</v>
      </c>
      <c r="AP21" s="272">
        <v>42</v>
      </c>
      <c r="AQ21" s="272">
        <v>43</v>
      </c>
      <c r="AR21" s="272">
        <v>44</v>
      </c>
      <c r="AS21" s="272">
        <v>45</v>
      </c>
      <c r="AT21" s="272">
        <v>46</v>
      </c>
      <c r="AU21" s="272">
        <v>47</v>
      </c>
      <c r="AV21" s="272">
        <v>48</v>
      </c>
      <c r="AW21" s="272">
        <v>49</v>
      </c>
      <c r="AX21" s="272">
        <v>50</v>
      </c>
      <c r="AY21" s="272">
        <v>51</v>
      </c>
      <c r="AZ21" s="272">
        <v>52</v>
      </c>
      <c r="BA21" s="272">
        <v>53</v>
      </c>
      <c r="BB21" s="315">
        <v>54</v>
      </c>
      <c r="BC21" s="315">
        <v>55</v>
      </c>
      <c r="BD21" s="315">
        <v>56</v>
      </c>
      <c r="BE21" s="315">
        <v>57</v>
      </c>
      <c r="BF21" s="315">
        <v>58</v>
      </c>
      <c r="BG21" s="315">
        <v>59</v>
      </c>
      <c r="BH21" s="315">
        <v>60</v>
      </c>
      <c r="BI21" s="315">
        <v>61</v>
      </c>
      <c r="BJ21" s="315">
        <v>62</v>
      </c>
      <c r="BK21" s="315">
        <v>63</v>
      </c>
      <c r="BL21" s="315">
        <v>64</v>
      </c>
      <c r="BM21" s="315">
        <v>65</v>
      </c>
      <c r="BN21" s="315">
        <v>66</v>
      </c>
      <c r="BO21" s="315">
        <v>67</v>
      </c>
      <c r="BP21" s="315">
        <v>68</v>
      </c>
      <c r="BQ21" s="272">
        <v>69</v>
      </c>
      <c r="BR21" s="272">
        <v>70</v>
      </c>
      <c r="BS21" s="272">
        <v>71</v>
      </c>
      <c r="BT21" s="272">
        <v>72</v>
      </c>
      <c r="BU21" s="272">
        <v>73</v>
      </c>
      <c r="BV21" s="272">
        <v>74</v>
      </c>
      <c r="BW21" s="272">
        <v>75</v>
      </c>
      <c r="BX21" s="272">
        <v>76</v>
      </c>
      <c r="BY21" s="272">
        <v>77</v>
      </c>
      <c r="BZ21" s="272">
        <v>78</v>
      </c>
      <c r="CA21" s="208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</row>
    <row r="22" spans="1:79" s="213" customFormat="1" ht="18.75">
      <c r="A22" s="32"/>
      <c r="B22" s="228" t="s">
        <v>32</v>
      </c>
      <c r="C22" s="268"/>
      <c r="D22" s="209">
        <f aca="true" t="shared" si="0" ref="D22:AI22">D23+D33+D68</f>
        <v>0</v>
      </c>
      <c r="E22" s="209">
        <f t="shared" si="0"/>
        <v>18.177477999999994</v>
      </c>
      <c r="F22" s="209">
        <f t="shared" si="0"/>
        <v>0</v>
      </c>
      <c r="G22" s="209">
        <f t="shared" si="0"/>
        <v>0</v>
      </c>
      <c r="H22" s="209">
        <f t="shared" si="0"/>
        <v>0</v>
      </c>
      <c r="I22" s="209">
        <f t="shared" si="0"/>
        <v>0</v>
      </c>
      <c r="J22" s="209">
        <f t="shared" si="0"/>
        <v>0</v>
      </c>
      <c r="K22" s="209">
        <f t="shared" si="0"/>
        <v>0</v>
      </c>
      <c r="L22" s="209">
        <f t="shared" si="0"/>
        <v>0</v>
      </c>
      <c r="M22" s="209">
        <f t="shared" si="0"/>
        <v>0</v>
      </c>
      <c r="N22" s="209">
        <f t="shared" si="0"/>
        <v>0</v>
      </c>
      <c r="O22" s="209">
        <f t="shared" si="0"/>
        <v>0</v>
      </c>
      <c r="P22" s="209">
        <f t="shared" si="0"/>
        <v>0</v>
      </c>
      <c r="Q22" s="209">
        <f t="shared" si="0"/>
        <v>0</v>
      </c>
      <c r="R22" s="209">
        <f t="shared" si="0"/>
        <v>0</v>
      </c>
      <c r="S22" s="209">
        <f t="shared" si="0"/>
        <v>0.239476752</v>
      </c>
      <c r="T22" s="209">
        <f t="shared" si="0"/>
        <v>0</v>
      </c>
      <c r="U22" s="209">
        <f t="shared" si="0"/>
        <v>0</v>
      </c>
      <c r="V22" s="209">
        <f t="shared" si="0"/>
        <v>0</v>
      </c>
      <c r="W22" s="209">
        <f t="shared" si="0"/>
        <v>0</v>
      </c>
      <c r="X22" s="209">
        <f t="shared" si="0"/>
        <v>0</v>
      </c>
      <c r="Y22" s="209">
        <f t="shared" si="0"/>
        <v>0</v>
      </c>
      <c r="Z22" s="209">
        <f t="shared" si="0"/>
        <v>2.115377976</v>
      </c>
      <c r="AA22" s="209">
        <f t="shared" si="0"/>
        <v>0</v>
      </c>
      <c r="AB22" s="209">
        <f t="shared" si="0"/>
        <v>0</v>
      </c>
      <c r="AC22" s="209">
        <f t="shared" si="0"/>
        <v>0</v>
      </c>
      <c r="AD22" s="209">
        <f t="shared" si="0"/>
        <v>0</v>
      </c>
      <c r="AE22" s="209">
        <f t="shared" si="0"/>
        <v>0</v>
      </c>
      <c r="AF22" s="209">
        <f t="shared" si="0"/>
        <v>0</v>
      </c>
      <c r="AG22" s="209">
        <f t="shared" si="0"/>
        <v>15.82262327199999</v>
      </c>
      <c r="AH22" s="209">
        <f t="shared" si="0"/>
        <v>0</v>
      </c>
      <c r="AI22" s="209">
        <f t="shared" si="0"/>
        <v>0</v>
      </c>
      <c r="AJ22" s="209">
        <f aca="true" t="shared" si="1" ref="AJ22:BO22">AJ23+AJ33+AJ68</f>
        <v>0</v>
      </c>
      <c r="AK22" s="209">
        <f t="shared" si="1"/>
        <v>0</v>
      </c>
      <c r="AL22" s="209">
        <f t="shared" si="1"/>
        <v>0</v>
      </c>
      <c r="AM22" s="209">
        <f t="shared" si="1"/>
        <v>0</v>
      </c>
      <c r="AN22" s="209">
        <f t="shared" si="1"/>
        <v>18.18227015898305</v>
      </c>
      <c r="AO22" s="209">
        <f t="shared" si="1"/>
        <v>7.75</v>
      </c>
      <c r="AP22" s="209">
        <f t="shared" si="1"/>
        <v>0</v>
      </c>
      <c r="AQ22" s="209">
        <f t="shared" si="1"/>
        <v>16.061</v>
      </c>
      <c r="AR22" s="209">
        <f t="shared" si="1"/>
        <v>0</v>
      </c>
      <c r="AS22" s="209">
        <f t="shared" si="1"/>
        <v>0</v>
      </c>
      <c r="AT22" s="209">
        <f t="shared" si="1"/>
        <v>0</v>
      </c>
      <c r="AU22" s="209">
        <f t="shared" si="1"/>
        <v>0.52817787</v>
      </c>
      <c r="AV22" s="209">
        <f t="shared" si="1"/>
        <v>0.63</v>
      </c>
      <c r="AW22" s="209">
        <f t="shared" si="1"/>
        <v>0</v>
      </c>
      <c r="AX22" s="209">
        <f t="shared" si="1"/>
        <v>0.125</v>
      </c>
      <c r="AY22" s="209">
        <f t="shared" si="1"/>
        <v>0</v>
      </c>
      <c r="AZ22" s="209">
        <f t="shared" si="1"/>
        <v>0</v>
      </c>
      <c r="BA22" s="209">
        <f t="shared" si="1"/>
        <v>0</v>
      </c>
      <c r="BB22" s="283">
        <f t="shared" si="1"/>
        <v>1.75206974</v>
      </c>
      <c r="BC22" s="283">
        <f t="shared" si="1"/>
        <v>0.85</v>
      </c>
      <c r="BD22" s="283">
        <f t="shared" si="1"/>
        <v>0</v>
      </c>
      <c r="BE22" s="283">
        <f t="shared" si="1"/>
        <v>0.83</v>
      </c>
      <c r="BF22" s="283">
        <f t="shared" si="1"/>
        <v>0</v>
      </c>
      <c r="BG22" s="283">
        <f t="shared" si="1"/>
        <v>0</v>
      </c>
      <c r="BH22" s="283">
        <f t="shared" si="1"/>
        <v>0</v>
      </c>
      <c r="BI22" s="283">
        <f t="shared" si="1"/>
        <v>5.08801235</v>
      </c>
      <c r="BJ22" s="283">
        <f t="shared" si="1"/>
        <v>5.24</v>
      </c>
      <c r="BK22" s="283">
        <f t="shared" si="1"/>
        <v>0</v>
      </c>
      <c r="BL22" s="283">
        <f t="shared" si="1"/>
        <v>11.626999999999999</v>
      </c>
      <c r="BM22" s="283">
        <f t="shared" si="1"/>
        <v>0</v>
      </c>
      <c r="BN22" s="283">
        <f t="shared" si="1"/>
        <v>0</v>
      </c>
      <c r="BO22" s="283">
        <f t="shared" si="1"/>
        <v>0</v>
      </c>
      <c r="BP22" s="283">
        <f aca="true" t="shared" si="2" ref="BP22:BU22">BP23+BP33+BP68</f>
        <v>10.81401019898305</v>
      </c>
      <c r="BQ22" s="209">
        <f t="shared" si="2"/>
        <v>1.03</v>
      </c>
      <c r="BR22" s="209">
        <f t="shared" si="2"/>
        <v>0</v>
      </c>
      <c r="BS22" s="209">
        <f t="shared" si="2"/>
        <v>3.479</v>
      </c>
      <c r="BT22" s="209">
        <f t="shared" si="2"/>
        <v>0</v>
      </c>
      <c r="BU22" s="209">
        <f t="shared" si="2"/>
        <v>0</v>
      </c>
      <c r="BV22" s="138">
        <f>AN22-E22</f>
        <v>0.004792158983057959</v>
      </c>
      <c r="BW22" s="210">
        <f>BV22/E22</f>
        <v>0.00026363167558546687</v>
      </c>
      <c r="BX22" s="138">
        <f>AM22-D22</f>
        <v>0</v>
      </c>
      <c r="BY22" s="138">
        <v>0</v>
      </c>
      <c r="BZ22" s="211"/>
      <c r="CA22" s="212"/>
    </row>
    <row r="23" spans="1:78" s="165" customFormat="1" ht="18.75">
      <c r="A23" s="135" t="s">
        <v>34</v>
      </c>
      <c r="B23" s="230" t="s">
        <v>35</v>
      </c>
      <c r="C23" s="269"/>
      <c r="D23" s="214">
        <f aca="true" t="shared" si="3" ref="D23:AM23">SUM(D24:D27)</f>
        <v>0</v>
      </c>
      <c r="E23" s="214">
        <f t="shared" si="3"/>
        <v>0</v>
      </c>
      <c r="F23" s="214">
        <f t="shared" si="3"/>
        <v>0</v>
      </c>
      <c r="G23" s="214">
        <f t="shared" si="3"/>
        <v>0</v>
      </c>
      <c r="H23" s="214">
        <f t="shared" si="3"/>
        <v>0</v>
      </c>
      <c r="I23" s="214">
        <f t="shared" si="3"/>
        <v>0</v>
      </c>
      <c r="J23" s="214">
        <f t="shared" si="3"/>
        <v>0</v>
      </c>
      <c r="K23" s="214">
        <f t="shared" si="3"/>
        <v>0</v>
      </c>
      <c r="L23" s="214">
        <f t="shared" si="3"/>
        <v>0</v>
      </c>
      <c r="M23" s="214">
        <f t="shared" si="3"/>
        <v>0</v>
      </c>
      <c r="N23" s="214">
        <f t="shared" si="3"/>
        <v>0</v>
      </c>
      <c r="O23" s="214">
        <f t="shared" si="3"/>
        <v>0</v>
      </c>
      <c r="P23" s="214">
        <f t="shared" si="3"/>
        <v>0</v>
      </c>
      <c r="Q23" s="214">
        <f t="shared" si="3"/>
        <v>0</v>
      </c>
      <c r="R23" s="214">
        <f t="shared" si="3"/>
        <v>0</v>
      </c>
      <c r="S23" s="214">
        <f t="shared" si="3"/>
        <v>0</v>
      </c>
      <c r="T23" s="214">
        <f t="shared" si="3"/>
        <v>0</v>
      </c>
      <c r="U23" s="214">
        <f t="shared" si="3"/>
        <v>0</v>
      </c>
      <c r="V23" s="214">
        <f t="shared" si="3"/>
        <v>0</v>
      </c>
      <c r="W23" s="214">
        <f t="shared" si="3"/>
        <v>0</v>
      </c>
      <c r="X23" s="214">
        <f t="shared" si="3"/>
        <v>0</v>
      </c>
      <c r="Y23" s="214">
        <f t="shared" si="3"/>
        <v>0</v>
      </c>
      <c r="Z23" s="214">
        <f t="shared" si="3"/>
        <v>0</v>
      </c>
      <c r="AA23" s="214">
        <f t="shared" si="3"/>
        <v>0</v>
      </c>
      <c r="AB23" s="214">
        <f t="shared" si="3"/>
        <v>0</v>
      </c>
      <c r="AC23" s="214">
        <f t="shared" si="3"/>
        <v>0</v>
      </c>
      <c r="AD23" s="214">
        <f t="shared" si="3"/>
        <v>0</v>
      </c>
      <c r="AE23" s="214">
        <f t="shared" si="3"/>
        <v>0</v>
      </c>
      <c r="AF23" s="214">
        <f t="shared" si="3"/>
        <v>0</v>
      </c>
      <c r="AG23" s="214">
        <f t="shared" si="3"/>
        <v>0</v>
      </c>
      <c r="AH23" s="214">
        <f t="shared" si="3"/>
        <v>0</v>
      </c>
      <c r="AI23" s="214">
        <f t="shared" si="3"/>
        <v>0</v>
      </c>
      <c r="AJ23" s="214">
        <f t="shared" si="3"/>
        <v>0</v>
      </c>
      <c r="AK23" s="214">
        <f t="shared" si="3"/>
        <v>0</v>
      </c>
      <c r="AL23" s="214">
        <f t="shared" si="3"/>
        <v>0</v>
      </c>
      <c r="AM23" s="214">
        <f t="shared" si="3"/>
        <v>0</v>
      </c>
      <c r="AN23" s="214">
        <f>SUM(AN24:AN32)</f>
        <v>2.01279925</v>
      </c>
      <c r="AO23" s="214">
        <f>SUM(AO24:AO27)</f>
        <v>0</v>
      </c>
      <c r="AP23" s="214">
        <f>SUM(AP24:AP27)</f>
        <v>0</v>
      </c>
      <c r="AQ23" s="214">
        <f>SUM(AQ24:AQ32)</f>
        <v>2.8569999999999998</v>
      </c>
      <c r="AR23" s="214">
        <f aca="true" t="shared" si="4" ref="AR23:BO23">SUM(AR24:AR27)</f>
        <v>0</v>
      </c>
      <c r="AS23" s="214">
        <f t="shared" si="4"/>
        <v>0</v>
      </c>
      <c r="AT23" s="214">
        <f t="shared" si="4"/>
        <v>0</v>
      </c>
      <c r="AU23" s="214">
        <f t="shared" si="4"/>
        <v>0.08665997</v>
      </c>
      <c r="AV23" s="214">
        <f t="shared" si="4"/>
        <v>0</v>
      </c>
      <c r="AW23" s="214">
        <f t="shared" si="4"/>
        <v>0</v>
      </c>
      <c r="AX23" s="214">
        <f t="shared" si="4"/>
        <v>0.1</v>
      </c>
      <c r="AY23" s="214">
        <f t="shared" si="4"/>
        <v>0</v>
      </c>
      <c r="AZ23" s="214">
        <f t="shared" si="4"/>
        <v>0</v>
      </c>
      <c r="BA23" s="214">
        <f t="shared" si="4"/>
        <v>0</v>
      </c>
      <c r="BB23" s="284">
        <f t="shared" si="4"/>
        <v>0</v>
      </c>
      <c r="BC23" s="284">
        <f t="shared" si="4"/>
        <v>0</v>
      </c>
      <c r="BD23" s="284">
        <f t="shared" si="4"/>
        <v>0</v>
      </c>
      <c r="BE23" s="284">
        <f t="shared" si="4"/>
        <v>0</v>
      </c>
      <c r="BF23" s="284">
        <f t="shared" si="4"/>
        <v>0</v>
      </c>
      <c r="BG23" s="284">
        <f t="shared" si="4"/>
        <v>0</v>
      </c>
      <c r="BH23" s="284">
        <f t="shared" si="4"/>
        <v>0</v>
      </c>
      <c r="BI23" s="284">
        <f t="shared" si="4"/>
        <v>0.66687897</v>
      </c>
      <c r="BJ23" s="284">
        <f t="shared" si="4"/>
        <v>0</v>
      </c>
      <c r="BK23" s="284">
        <f t="shared" si="4"/>
        <v>0</v>
      </c>
      <c r="BL23" s="284">
        <f t="shared" si="4"/>
        <v>1.0070000000000001</v>
      </c>
      <c r="BM23" s="284">
        <f t="shared" si="4"/>
        <v>0</v>
      </c>
      <c r="BN23" s="284">
        <f t="shared" si="4"/>
        <v>0</v>
      </c>
      <c r="BO23" s="284">
        <f t="shared" si="4"/>
        <v>0</v>
      </c>
      <c r="BP23" s="284">
        <f aca="true" t="shared" si="5" ref="BP23:BV23">SUM(BP24:BP32)</f>
        <v>1.2592603099999997</v>
      </c>
      <c r="BQ23" s="214">
        <f t="shared" si="5"/>
        <v>0</v>
      </c>
      <c r="BR23" s="214">
        <f t="shared" si="5"/>
        <v>0</v>
      </c>
      <c r="BS23" s="214">
        <f t="shared" si="5"/>
        <v>1.75</v>
      </c>
      <c r="BT23" s="214">
        <f t="shared" si="5"/>
        <v>0</v>
      </c>
      <c r="BU23" s="214">
        <f t="shared" si="5"/>
        <v>0</v>
      </c>
      <c r="BV23" s="214">
        <f t="shared" si="5"/>
        <v>2.01279925</v>
      </c>
      <c r="BW23" s="210"/>
      <c r="BX23" s="214">
        <f>SUM(BX24:BX27)</f>
        <v>0</v>
      </c>
      <c r="BY23" s="214">
        <v>0</v>
      </c>
      <c r="BZ23" s="211"/>
    </row>
    <row r="24" spans="1:78" s="182" customFormat="1" ht="47.25">
      <c r="A24" s="45" t="s">
        <v>155</v>
      </c>
      <c r="B24" s="228" t="s">
        <v>195</v>
      </c>
      <c r="C24" s="268"/>
      <c r="D24" s="171">
        <f aca="true" t="shared" si="6" ref="D24:D32">K24+R24++Y24+AF24</f>
        <v>0</v>
      </c>
      <c r="E24" s="171">
        <f aca="true" t="shared" si="7" ref="E24:E32">L24+S24++Z24+AG24</f>
        <v>0</v>
      </c>
      <c r="F24" s="171">
        <f aca="true" t="shared" si="8" ref="F24:F32">M24+T24++AA24+AH24</f>
        <v>0</v>
      </c>
      <c r="G24" s="171">
        <f aca="true" t="shared" si="9" ref="G24:G32">N24+U24++AB24+AI24</f>
        <v>0</v>
      </c>
      <c r="H24" s="171">
        <f aca="true" t="shared" si="10" ref="H24:H32">O24+V24++AC24+AJ24</f>
        <v>0</v>
      </c>
      <c r="I24" s="171">
        <f aca="true" t="shared" si="11" ref="I24:I32">P24+W24++AD24+AK24</f>
        <v>0</v>
      </c>
      <c r="J24" s="171">
        <f aca="true" t="shared" si="12" ref="J24:J32">Q24+X24++AE24+AL24</f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0</v>
      </c>
      <c r="T24" s="171">
        <v>0</v>
      </c>
      <c r="U24" s="171">
        <v>0</v>
      </c>
      <c r="V24" s="171">
        <v>0</v>
      </c>
      <c r="W24" s="171">
        <v>0</v>
      </c>
      <c r="X24" s="171">
        <v>0</v>
      </c>
      <c r="Y24" s="171">
        <v>0</v>
      </c>
      <c r="Z24" s="171">
        <v>0</v>
      </c>
      <c r="AA24" s="171">
        <v>0</v>
      </c>
      <c r="AB24" s="171">
        <v>0</v>
      </c>
      <c r="AC24" s="171">
        <v>0</v>
      </c>
      <c r="AD24" s="171">
        <v>0</v>
      </c>
      <c r="AE24" s="171">
        <v>0</v>
      </c>
      <c r="AF24" s="171">
        <v>0</v>
      </c>
      <c r="AG24" s="171">
        <v>0</v>
      </c>
      <c r="AH24" s="171">
        <v>0</v>
      </c>
      <c r="AI24" s="171">
        <v>0</v>
      </c>
      <c r="AJ24" s="171">
        <v>0</v>
      </c>
      <c r="AK24" s="171">
        <v>0</v>
      </c>
      <c r="AL24" s="171">
        <v>0</v>
      </c>
      <c r="AM24" s="171">
        <f aca="true" t="shared" si="13" ref="AM24:AM32">AT24+BA24++BH24+BO24</f>
        <v>0</v>
      </c>
      <c r="AN24" s="171">
        <f aca="true" t="shared" si="14" ref="AN24:AN32">AU24+BB24++BI24+BP24</f>
        <v>0.08665997</v>
      </c>
      <c r="AO24" s="171">
        <f aca="true" t="shared" si="15" ref="AO24:AO32">AV24+BC24++BJ24+BQ24</f>
        <v>0</v>
      </c>
      <c r="AP24" s="171">
        <f aca="true" t="shared" si="16" ref="AP24:AP32">AW24+BD24++BK24+BR24</f>
        <v>0</v>
      </c>
      <c r="AQ24" s="171">
        <f aca="true" t="shared" si="17" ref="AQ24:AQ32">AX24+BE24++BL24+BS24</f>
        <v>0.1</v>
      </c>
      <c r="AR24" s="171">
        <f aca="true" t="shared" si="18" ref="AR24:AR32">AY24+BF24++BM24+BT24</f>
        <v>0</v>
      </c>
      <c r="AS24" s="171">
        <f aca="true" t="shared" si="19" ref="AS24:AS32">AZ24+BG24++BN24+BU24</f>
        <v>0</v>
      </c>
      <c r="AT24" s="171">
        <v>0</v>
      </c>
      <c r="AU24" s="171">
        <f>86.65997/1000</f>
        <v>0.08665997</v>
      </c>
      <c r="AV24" s="171">
        <v>0</v>
      </c>
      <c r="AW24" s="171">
        <v>0</v>
      </c>
      <c r="AX24" s="171">
        <v>0.1</v>
      </c>
      <c r="AY24" s="171">
        <v>0</v>
      </c>
      <c r="AZ24" s="171">
        <v>0</v>
      </c>
      <c r="BA24" s="171">
        <v>0</v>
      </c>
      <c r="BB24" s="285">
        <v>0</v>
      </c>
      <c r="BC24" s="285">
        <v>0</v>
      </c>
      <c r="BD24" s="285">
        <v>0</v>
      </c>
      <c r="BE24" s="285">
        <v>0</v>
      </c>
      <c r="BF24" s="285">
        <v>0</v>
      </c>
      <c r="BG24" s="285">
        <v>0</v>
      </c>
      <c r="BH24" s="285">
        <v>0</v>
      </c>
      <c r="BI24" s="285">
        <v>0</v>
      </c>
      <c r="BJ24" s="285">
        <v>0</v>
      </c>
      <c r="BK24" s="285">
        <v>0</v>
      </c>
      <c r="BL24" s="285">
        <v>0</v>
      </c>
      <c r="BM24" s="285">
        <v>0</v>
      </c>
      <c r="BN24" s="285">
        <v>0</v>
      </c>
      <c r="BO24" s="285">
        <v>0</v>
      </c>
      <c r="BP24" s="285">
        <v>0</v>
      </c>
      <c r="BQ24" s="171">
        <v>0</v>
      </c>
      <c r="BR24" s="171">
        <v>0</v>
      </c>
      <c r="BS24" s="171">
        <v>0</v>
      </c>
      <c r="BT24" s="171">
        <v>0</v>
      </c>
      <c r="BU24" s="171">
        <v>0</v>
      </c>
      <c r="BV24" s="171">
        <f aca="true" t="shared" si="20" ref="BV24:BV33">AN24-E24</f>
        <v>0.08665997</v>
      </c>
      <c r="BW24" s="210"/>
      <c r="BX24" s="171">
        <f aca="true" t="shared" si="21" ref="BX24:BX32">AM24-D24</f>
        <v>0</v>
      </c>
      <c r="BY24" s="171"/>
      <c r="BZ24" s="211" t="s">
        <v>38</v>
      </c>
    </row>
    <row r="25" spans="1:78" s="182" customFormat="1" ht="31.5">
      <c r="A25" s="45" t="s">
        <v>155</v>
      </c>
      <c r="B25" s="228" t="s">
        <v>222</v>
      </c>
      <c r="C25" s="268"/>
      <c r="D25" s="171">
        <f t="shared" si="6"/>
        <v>0</v>
      </c>
      <c r="E25" s="171">
        <f t="shared" si="7"/>
        <v>0</v>
      </c>
      <c r="F25" s="171">
        <f t="shared" si="8"/>
        <v>0</v>
      </c>
      <c r="G25" s="171">
        <f t="shared" si="9"/>
        <v>0</v>
      </c>
      <c r="H25" s="171">
        <f t="shared" si="10"/>
        <v>0</v>
      </c>
      <c r="I25" s="171">
        <f t="shared" si="11"/>
        <v>0</v>
      </c>
      <c r="J25" s="171">
        <f t="shared" si="12"/>
        <v>0</v>
      </c>
      <c r="K25" s="171">
        <v>0</v>
      </c>
      <c r="L25" s="171">
        <v>0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71">
        <v>0</v>
      </c>
      <c r="V25" s="171">
        <v>0</v>
      </c>
      <c r="W25" s="171">
        <v>0</v>
      </c>
      <c r="X25" s="171">
        <v>0</v>
      </c>
      <c r="Y25" s="171">
        <v>0</v>
      </c>
      <c r="Z25" s="171">
        <v>0</v>
      </c>
      <c r="AA25" s="171">
        <v>0</v>
      </c>
      <c r="AB25" s="171">
        <v>0</v>
      </c>
      <c r="AC25" s="171">
        <v>0</v>
      </c>
      <c r="AD25" s="171">
        <v>0</v>
      </c>
      <c r="AE25" s="171">
        <v>0</v>
      </c>
      <c r="AF25" s="171">
        <v>0</v>
      </c>
      <c r="AG25" s="171">
        <v>0</v>
      </c>
      <c r="AH25" s="171">
        <v>0</v>
      </c>
      <c r="AI25" s="171">
        <v>0</v>
      </c>
      <c r="AJ25" s="171">
        <v>0</v>
      </c>
      <c r="AK25" s="171">
        <v>0</v>
      </c>
      <c r="AL25" s="171">
        <v>0</v>
      </c>
      <c r="AM25" s="171">
        <f t="shared" si="13"/>
        <v>0</v>
      </c>
      <c r="AN25" s="171">
        <f t="shared" si="14"/>
        <v>0.24244696</v>
      </c>
      <c r="AO25" s="171">
        <f t="shared" si="15"/>
        <v>0</v>
      </c>
      <c r="AP25" s="171">
        <f t="shared" si="16"/>
        <v>0</v>
      </c>
      <c r="AQ25" s="171">
        <f t="shared" si="17"/>
        <v>0.36</v>
      </c>
      <c r="AR25" s="171">
        <f t="shared" si="18"/>
        <v>0</v>
      </c>
      <c r="AS25" s="171">
        <f t="shared" si="19"/>
        <v>0</v>
      </c>
      <c r="AT25" s="171">
        <v>0</v>
      </c>
      <c r="AU25" s="171">
        <v>0</v>
      </c>
      <c r="AV25" s="171">
        <v>0</v>
      </c>
      <c r="AW25" s="171">
        <v>0</v>
      </c>
      <c r="AX25" s="171">
        <v>0</v>
      </c>
      <c r="AY25" s="171">
        <v>0</v>
      </c>
      <c r="AZ25" s="171">
        <v>0</v>
      </c>
      <c r="BA25" s="171">
        <v>0</v>
      </c>
      <c r="BB25" s="285">
        <v>0</v>
      </c>
      <c r="BC25" s="285">
        <v>0</v>
      </c>
      <c r="BD25" s="285">
        <v>0</v>
      </c>
      <c r="BE25" s="285">
        <v>0</v>
      </c>
      <c r="BF25" s="285">
        <v>0</v>
      </c>
      <c r="BG25" s="285">
        <v>0</v>
      </c>
      <c r="BH25" s="285">
        <v>0</v>
      </c>
      <c r="BI25" s="306">
        <f>242.44696/1000</f>
        <v>0.24244696</v>
      </c>
      <c r="BJ25" s="285">
        <v>0</v>
      </c>
      <c r="BK25" s="285">
        <v>0</v>
      </c>
      <c r="BL25" s="285">
        <v>0.36</v>
      </c>
      <c r="BM25" s="285">
        <v>0</v>
      </c>
      <c r="BN25" s="285">
        <v>0</v>
      </c>
      <c r="BO25" s="285">
        <v>0</v>
      </c>
      <c r="BP25" s="285">
        <v>0</v>
      </c>
      <c r="BQ25" s="171">
        <v>0</v>
      </c>
      <c r="BR25" s="171">
        <v>0</v>
      </c>
      <c r="BS25" s="171">
        <v>0</v>
      </c>
      <c r="BT25" s="171">
        <v>0</v>
      </c>
      <c r="BU25" s="171">
        <v>0</v>
      </c>
      <c r="BV25" s="171">
        <f t="shared" si="20"/>
        <v>0.24244696</v>
      </c>
      <c r="BW25" s="210"/>
      <c r="BX25" s="171">
        <f t="shared" si="21"/>
        <v>0</v>
      </c>
      <c r="BY25" s="171"/>
      <c r="BZ25" s="211" t="s">
        <v>38</v>
      </c>
    </row>
    <row r="26" spans="1:78" s="182" customFormat="1" ht="31.5">
      <c r="A26" s="45" t="s">
        <v>155</v>
      </c>
      <c r="B26" s="228" t="s">
        <v>42</v>
      </c>
      <c r="C26" s="268"/>
      <c r="D26" s="171">
        <f t="shared" si="6"/>
        <v>0</v>
      </c>
      <c r="E26" s="171">
        <f t="shared" si="7"/>
        <v>0</v>
      </c>
      <c r="F26" s="171">
        <f t="shared" si="8"/>
        <v>0</v>
      </c>
      <c r="G26" s="171">
        <f t="shared" si="9"/>
        <v>0</v>
      </c>
      <c r="H26" s="171">
        <f t="shared" si="10"/>
        <v>0</v>
      </c>
      <c r="I26" s="171">
        <f t="shared" si="11"/>
        <v>0</v>
      </c>
      <c r="J26" s="171">
        <f t="shared" si="12"/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v>0</v>
      </c>
      <c r="V26" s="171">
        <v>0</v>
      </c>
      <c r="W26" s="171">
        <v>0</v>
      </c>
      <c r="X26" s="171">
        <v>0</v>
      </c>
      <c r="Y26" s="171">
        <v>0</v>
      </c>
      <c r="Z26" s="171">
        <v>0</v>
      </c>
      <c r="AA26" s="171">
        <v>0</v>
      </c>
      <c r="AB26" s="171">
        <v>0</v>
      </c>
      <c r="AC26" s="171">
        <v>0</v>
      </c>
      <c r="AD26" s="171">
        <v>0</v>
      </c>
      <c r="AE26" s="171">
        <v>0</v>
      </c>
      <c r="AF26" s="171">
        <v>0</v>
      </c>
      <c r="AG26" s="171">
        <v>0</v>
      </c>
      <c r="AH26" s="171">
        <v>0</v>
      </c>
      <c r="AI26" s="171">
        <v>0</v>
      </c>
      <c r="AJ26" s="171">
        <v>0</v>
      </c>
      <c r="AK26" s="171">
        <v>0</v>
      </c>
      <c r="AL26" s="171">
        <v>0</v>
      </c>
      <c r="AM26" s="171">
        <f t="shared" si="13"/>
        <v>0</v>
      </c>
      <c r="AN26" s="171">
        <f t="shared" si="14"/>
        <v>0.1042821</v>
      </c>
      <c r="AO26" s="171">
        <f t="shared" si="15"/>
        <v>0</v>
      </c>
      <c r="AP26" s="171">
        <f t="shared" si="16"/>
        <v>0</v>
      </c>
      <c r="AQ26" s="171">
        <f t="shared" si="17"/>
        <v>0.12</v>
      </c>
      <c r="AR26" s="171">
        <f t="shared" si="18"/>
        <v>0</v>
      </c>
      <c r="AS26" s="171">
        <f t="shared" si="19"/>
        <v>0</v>
      </c>
      <c r="AT26" s="171">
        <v>0</v>
      </c>
      <c r="AU26" s="171">
        <v>0</v>
      </c>
      <c r="AV26" s="171">
        <v>0</v>
      </c>
      <c r="AW26" s="171">
        <v>0</v>
      </c>
      <c r="AX26" s="171">
        <v>0</v>
      </c>
      <c r="AY26" s="171">
        <v>0</v>
      </c>
      <c r="AZ26" s="171">
        <v>0</v>
      </c>
      <c r="BA26" s="171">
        <v>0</v>
      </c>
      <c r="BB26" s="285">
        <v>0</v>
      </c>
      <c r="BC26" s="285">
        <v>0</v>
      </c>
      <c r="BD26" s="285">
        <v>0</v>
      </c>
      <c r="BE26" s="285">
        <v>0</v>
      </c>
      <c r="BF26" s="285">
        <v>0</v>
      </c>
      <c r="BG26" s="285">
        <v>0</v>
      </c>
      <c r="BH26" s="285">
        <v>0</v>
      </c>
      <c r="BI26" s="306">
        <f>104.2821/1000</f>
        <v>0.1042821</v>
      </c>
      <c r="BJ26" s="285">
        <v>0</v>
      </c>
      <c r="BK26" s="285">
        <v>0</v>
      </c>
      <c r="BL26" s="285">
        <v>0.12</v>
      </c>
      <c r="BM26" s="285">
        <v>0</v>
      </c>
      <c r="BN26" s="285">
        <v>0</v>
      </c>
      <c r="BO26" s="285">
        <v>0</v>
      </c>
      <c r="BP26" s="285">
        <v>0</v>
      </c>
      <c r="BQ26" s="171">
        <v>0</v>
      </c>
      <c r="BR26" s="171">
        <v>0</v>
      </c>
      <c r="BS26" s="171">
        <v>0</v>
      </c>
      <c r="BT26" s="171">
        <v>0</v>
      </c>
      <c r="BU26" s="171">
        <v>0</v>
      </c>
      <c r="BV26" s="171">
        <f t="shared" si="20"/>
        <v>0.1042821</v>
      </c>
      <c r="BW26" s="210"/>
      <c r="BX26" s="171">
        <f t="shared" si="21"/>
        <v>0</v>
      </c>
      <c r="BY26" s="171"/>
      <c r="BZ26" s="211" t="s">
        <v>38</v>
      </c>
    </row>
    <row r="27" spans="1:78" s="182" customFormat="1" ht="31.5">
      <c r="A27" s="45" t="s">
        <v>155</v>
      </c>
      <c r="B27" s="228" t="s">
        <v>44</v>
      </c>
      <c r="C27" s="268"/>
      <c r="D27" s="171">
        <f t="shared" si="6"/>
        <v>0</v>
      </c>
      <c r="E27" s="171">
        <f t="shared" si="7"/>
        <v>0</v>
      </c>
      <c r="F27" s="171">
        <f t="shared" si="8"/>
        <v>0</v>
      </c>
      <c r="G27" s="171">
        <f t="shared" si="9"/>
        <v>0</v>
      </c>
      <c r="H27" s="171">
        <f t="shared" si="10"/>
        <v>0</v>
      </c>
      <c r="I27" s="171">
        <f t="shared" si="11"/>
        <v>0</v>
      </c>
      <c r="J27" s="171">
        <f t="shared" si="12"/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  <c r="R27" s="171">
        <v>0</v>
      </c>
      <c r="S27" s="171">
        <v>0</v>
      </c>
      <c r="T27" s="171">
        <v>0</v>
      </c>
      <c r="U27" s="171">
        <v>0</v>
      </c>
      <c r="V27" s="171">
        <v>0</v>
      </c>
      <c r="W27" s="171">
        <v>0</v>
      </c>
      <c r="X27" s="171">
        <v>0</v>
      </c>
      <c r="Y27" s="171">
        <v>0</v>
      </c>
      <c r="Z27" s="171">
        <v>0</v>
      </c>
      <c r="AA27" s="171">
        <v>0</v>
      </c>
      <c r="AB27" s="171">
        <v>0</v>
      </c>
      <c r="AC27" s="171">
        <v>0</v>
      </c>
      <c r="AD27" s="171">
        <v>0</v>
      </c>
      <c r="AE27" s="171">
        <v>0</v>
      </c>
      <c r="AF27" s="171">
        <v>0</v>
      </c>
      <c r="AG27" s="171">
        <v>0</v>
      </c>
      <c r="AH27" s="171">
        <v>0</v>
      </c>
      <c r="AI27" s="171">
        <v>0</v>
      </c>
      <c r="AJ27" s="171">
        <v>0</v>
      </c>
      <c r="AK27" s="171">
        <v>0</v>
      </c>
      <c r="AL27" s="171">
        <v>0</v>
      </c>
      <c r="AM27" s="171">
        <f t="shared" si="13"/>
        <v>0</v>
      </c>
      <c r="AN27" s="171">
        <f t="shared" si="14"/>
        <v>0.92457542</v>
      </c>
      <c r="AO27" s="171">
        <f t="shared" si="15"/>
        <v>0</v>
      </c>
      <c r="AP27" s="171">
        <f t="shared" si="16"/>
        <v>0</v>
      </c>
      <c r="AQ27" s="171">
        <f t="shared" si="17"/>
        <v>1.287</v>
      </c>
      <c r="AR27" s="171">
        <f t="shared" si="18"/>
        <v>0</v>
      </c>
      <c r="AS27" s="171">
        <f t="shared" si="19"/>
        <v>0</v>
      </c>
      <c r="AT27" s="171">
        <v>0</v>
      </c>
      <c r="AU27" s="171">
        <v>0</v>
      </c>
      <c r="AV27" s="171">
        <v>0</v>
      </c>
      <c r="AW27" s="171">
        <v>0</v>
      </c>
      <c r="AX27" s="171">
        <v>0</v>
      </c>
      <c r="AY27" s="171">
        <v>0</v>
      </c>
      <c r="AZ27" s="171">
        <v>0</v>
      </c>
      <c r="BA27" s="171">
        <v>0</v>
      </c>
      <c r="BB27" s="285">
        <v>0</v>
      </c>
      <c r="BC27" s="285">
        <v>0</v>
      </c>
      <c r="BD27" s="285">
        <v>0</v>
      </c>
      <c r="BE27" s="285">
        <v>0</v>
      </c>
      <c r="BF27" s="285">
        <v>0</v>
      </c>
      <c r="BG27" s="285">
        <v>0</v>
      </c>
      <c r="BH27" s="285">
        <v>0</v>
      </c>
      <c r="BI27" s="306">
        <f>320.14991/1000</f>
        <v>0.32014991</v>
      </c>
      <c r="BJ27" s="285">
        <v>0</v>
      </c>
      <c r="BK27" s="285">
        <v>0</v>
      </c>
      <c r="BL27" s="285">
        <v>0.527</v>
      </c>
      <c r="BM27" s="285">
        <v>0</v>
      </c>
      <c r="BN27" s="285">
        <v>0</v>
      </c>
      <c r="BO27" s="285">
        <v>0</v>
      </c>
      <c r="BP27" s="285">
        <f>604.42551/1000</f>
        <v>0.60442551</v>
      </c>
      <c r="BQ27" s="138">
        <v>0</v>
      </c>
      <c r="BR27" s="138">
        <v>0</v>
      </c>
      <c r="BS27" s="138">
        <v>0.76</v>
      </c>
      <c r="BT27" s="138">
        <v>0</v>
      </c>
      <c r="BU27" s="138">
        <v>0</v>
      </c>
      <c r="BV27" s="171">
        <f t="shared" si="20"/>
        <v>0.92457542</v>
      </c>
      <c r="BW27" s="210"/>
      <c r="BX27" s="171">
        <f t="shared" si="21"/>
        <v>0</v>
      </c>
      <c r="BY27" s="171"/>
      <c r="BZ27" s="211" t="s">
        <v>38</v>
      </c>
    </row>
    <row r="28" spans="1:78" s="182" customFormat="1" ht="18.75" hidden="1">
      <c r="A28" s="45"/>
      <c r="B28" s="287"/>
      <c r="C28" s="268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285"/>
      <c r="BC28" s="285"/>
      <c r="BD28" s="285"/>
      <c r="BE28" s="285"/>
      <c r="BF28" s="285"/>
      <c r="BG28" s="285"/>
      <c r="BH28" s="285"/>
      <c r="BI28" s="306"/>
      <c r="BJ28" s="285"/>
      <c r="BK28" s="285"/>
      <c r="BL28" s="285"/>
      <c r="BM28" s="285"/>
      <c r="BN28" s="285"/>
      <c r="BO28" s="285"/>
      <c r="BP28" s="285"/>
      <c r="BQ28" s="138"/>
      <c r="BR28" s="138"/>
      <c r="BS28" s="138"/>
      <c r="BT28" s="138"/>
      <c r="BU28" s="138"/>
      <c r="BV28" s="171"/>
      <c r="BW28" s="210"/>
      <c r="BX28" s="171"/>
      <c r="BY28" s="171"/>
      <c r="BZ28" s="211"/>
    </row>
    <row r="29" spans="1:78" s="182" customFormat="1" ht="31.5">
      <c r="A29" s="45"/>
      <c r="B29" s="228" t="s">
        <v>46</v>
      </c>
      <c r="C29" s="268"/>
      <c r="D29" s="171">
        <f t="shared" si="6"/>
        <v>0</v>
      </c>
      <c r="E29" s="171">
        <f t="shared" si="7"/>
        <v>0</v>
      </c>
      <c r="F29" s="171">
        <f t="shared" si="8"/>
        <v>0</v>
      </c>
      <c r="G29" s="171">
        <f t="shared" si="9"/>
        <v>0</v>
      </c>
      <c r="H29" s="171">
        <f t="shared" si="10"/>
        <v>0</v>
      </c>
      <c r="I29" s="171">
        <f t="shared" si="11"/>
        <v>0</v>
      </c>
      <c r="J29" s="171">
        <f t="shared" si="12"/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1">
        <v>0</v>
      </c>
      <c r="T29" s="171">
        <v>0</v>
      </c>
      <c r="U29" s="171">
        <v>0</v>
      </c>
      <c r="V29" s="171">
        <v>0</v>
      </c>
      <c r="W29" s="171">
        <v>0</v>
      </c>
      <c r="X29" s="171">
        <v>0</v>
      </c>
      <c r="Y29" s="171">
        <v>0</v>
      </c>
      <c r="Z29" s="171">
        <v>0</v>
      </c>
      <c r="AA29" s="171">
        <v>0</v>
      </c>
      <c r="AB29" s="171">
        <v>0</v>
      </c>
      <c r="AC29" s="171">
        <v>0</v>
      </c>
      <c r="AD29" s="171">
        <v>0</v>
      </c>
      <c r="AE29" s="171">
        <v>0</v>
      </c>
      <c r="AF29" s="171">
        <v>0</v>
      </c>
      <c r="AG29" s="171">
        <v>0</v>
      </c>
      <c r="AH29" s="171">
        <v>0</v>
      </c>
      <c r="AI29" s="171">
        <v>0</v>
      </c>
      <c r="AJ29" s="171">
        <v>0</v>
      </c>
      <c r="AK29" s="171">
        <v>0</v>
      </c>
      <c r="AL29" s="171">
        <v>0</v>
      </c>
      <c r="AM29" s="171">
        <f t="shared" si="13"/>
        <v>0</v>
      </c>
      <c r="AN29" s="171">
        <f t="shared" si="14"/>
        <v>0.03300479</v>
      </c>
      <c r="AO29" s="171">
        <f t="shared" si="15"/>
        <v>0</v>
      </c>
      <c r="AP29" s="171">
        <f t="shared" si="16"/>
        <v>0</v>
      </c>
      <c r="AQ29" s="171">
        <f t="shared" si="17"/>
        <v>0.12</v>
      </c>
      <c r="AR29" s="171">
        <f t="shared" si="18"/>
        <v>0</v>
      </c>
      <c r="AS29" s="171">
        <f t="shared" si="19"/>
        <v>0</v>
      </c>
      <c r="AT29" s="171">
        <v>0</v>
      </c>
      <c r="AU29" s="171">
        <v>0</v>
      </c>
      <c r="AV29" s="171">
        <v>0</v>
      </c>
      <c r="AW29" s="171">
        <v>0</v>
      </c>
      <c r="AX29" s="171">
        <v>0</v>
      </c>
      <c r="AY29" s="171">
        <v>0</v>
      </c>
      <c r="AZ29" s="171">
        <v>0</v>
      </c>
      <c r="BA29" s="171">
        <v>0</v>
      </c>
      <c r="BB29" s="285">
        <v>0</v>
      </c>
      <c r="BC29" s="285">
        <v>0</v>
      </c>
      <c r="BD29" s="285">
        <v>0</v>
      </c>
      <c r="BE29" s="285">
        <v>0</v>
      </c>
      <c r="BF29" s="285">
        <v>0</v>
      </c>
      <c r="BG29" s="285">
        <v>0</v>
      </c>
      <c r="BH29" s="285">
        <v>0</v>
      </c>
      <c r="BI29" s="306">
        <v>0</v>
      </c>
      <c r="BJ29" s="285">
        <v>0</v>
      </c>
      <c r="BK29" s="285">
        <v>0</v>
      </c>
      <c r="BL29" s="285">
        <v>0</v>
      </c>
      <c r="BM29" s="285">
        <v>0</v>
      </c>
      <c r="BN29" s="285">
        <v>0</v>
      </c>
      <c r="BO29" s="285">
        <v>0</v>
      </c>
      <c r="BP29" s="285">
        <f>33.00479/1000</f>
        <v>0.03300479</v>
      </c>
      <c r="BQ29" s="138">
        <v>0</v>
      </c>
      <c r="BR29" s="138">
        <v>0</v>
      </c>
      <c r="BS29" s="138">
        <v>0.12</v>
      </c>
      <c r="BT29" s="138">
        <v>0</v>
      </c>
      <c r="BU29" s="138">
        <v>0</v>
      </c>
      <c r="BV29" s="171">
        <f t="shared" si="20"/>
        <v>0.03300479</v>
      </c>
      <c r="BW29" s="210"/>
      <c r="BX29" s="171">
        <f t="shared" si="21"/>
        <v>0</v>
      </c>
      <c r="BY29" s="171"/>
      <c r="BZ29" s="211" t="s">
        <v>38</v>
      </c>
    </row>
    <row r="30" spans="1:78" s="182" customFormat="1" ht="31.5">
      <c r="A30" s="45"/>
      <c r="B30" s="270" t="s">
        <v>48</v>
      </c>
      <c r="C30" s="268"/>
      <c r="D30" s="171">
        <f t="shared" si="6"/>
        <v>0</v>
      </c>
      <c r="E30" s="171">
        <f t="shared" si="7"/>
        <v>0</v>
      </c>
      <c r="F30" s="171">
        <f t="shared" si="8"/>
        <v>0</v>
      </c>
      <c r="G30" s="171">
        <f t="shared" si="9"/>
        <v>0</v>
      </c>
      <c r="H30" s="171">
        <f t="shared" si="10"/>
        <v>0</v>
      </c>
      <c r="I30" s="171">
        <f t="shared" si="11"/>
        <v>0</v>
      </c>
      <c r="J30" s="171">
        <f t="shared" si="12"/>
        <v>0</v>
      </c>
      <c r="K30" s="17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1">
        <v>0</v>
      </c>
      <c r="AD30" s="171">
        <v>0</v>
      </c>
      <c r="AE30" s="171">
        <v>0</v>
      </c>
      <c r="AF30" s="171">
        <v>0</v>
      </c>
      <c r="AG30" s="171">
        <v>0</v>
      </c>
      <c r="AH30" s="171">
        <v>0</v>
      </c>
      <c r="AI30" s="171">
        <v>0</v>
      </c>
      <c r="AJ30" s="171">
        <v>0</v>
      </c>
      <c r="AK30" s="171">
        <v>0</v>
      </c>
      <c r="AL30" s="171">
        <v>0</v>
      </c>
      <c r="AM30" s="171">
        <f t="shared" si="13"/>
        <v>0</v>
      </c>
      <c r="AN30" s="171">
        <f t="shared" si="14"/>
        <v>0.20716802999999998</v>
      </c>
      <c r="AO30" s="171">
        <f t="shared" si="15"/>
        <v>0</v>
      </c>
      <c r="AP30" s="171">
        <f t="shared" si="16"/>
        <v>0</v>
      </c>
      <c r="AQ30" s="171">
        <f t="shared" si="17"/>
        <v>0.3</v>
      </c>
      <c r="AR30" s="171">
        <f t="shared" si="18"/>
        <v>0</v>
      </c>
      <c r="AS30" s="171">
        <f t="shared" si="19"/>
        <v>0</v>
      </c>
      <c r="AT30" s="171">
        <v>0</v>
      </c>
      <c r="AU30" s="171">
        <v>0</v>
      </c>
      <c r="AV30" s="171">
        <v>0</v>
      </c>
      <c r="AW30" s="171">
        <v>0</v>
      </c>
      <c r="AX30" s="171">
        <v>0</v>
      </c>
      <c r="AY30" s="171">
        <v>0</v>
      </c>
      <c r="AZ30" s="171">
        <v>0</v>
      </c>
      <c r="BA30" s="171">
        <v>0</v>
      </c>
      <c r="BB30" s="285">
        <v>0</v>
      </c>
      <c r="BC30" s="285">
        <v>0</v>
      </c>
      <c r="BD30" s="285">
        <v>0</v>
      </c>
      <c r="BE30" s="285">
        <v>0</v>
      </c>
      <c r="BF30" s="285">
        <v>0</v>
      </c>
      <c r="BG30" s="285">
        <v>0</v>
      </c>
      <c r="BH30" s="285">
        <v>0</v>
      </c>
      <c r="BI30" s="306">
        <v>0</v>
      </c>
      <c r="BJ30" s="285">
        <v>0</v>
      </c>
      <c r="BK30" s="285">
        <v>0</v>
      </c>
      <c r="BL30" s="285">
        <v>0</v>
      </c>
      <c r="BM30" s="285">
        <v>0</v>
      </c>
      <c r="BN30" s="285">
        <v>0</v>
      </c>
      <c r="BO30" s="285">
        <v>0</v>
      </c>
      <c r="BP30" s="285">
        <f>207.16803/1000</f>
        <v>0.20716802999999998</v>
      </c>
      <c r="BQ30" s="138">
        <v>0</v>
      </c>
      <c r="BR30" s="138">
        <v>0</v>
      </c>
      <c r="BS30" s="138">
        <v>0.3</v>
      </c>
      <c r="BT30" s="138">
        <v>0</v>
      </c>
      <c r="BU30" s="138">
        <v>0</v>
      </c>
      <c r="BV30" s="171">
        <f t="shared" si="20"/>
        <v>0.20716802999999998</v>
      </c>
      <c r="BW30" s="210"/>
      <c r="BX30" s="171">
        <f t="shared" si="21"/>
        <v>0</v>
      </c>
      <c r="BY30" s="171"/>
      <c r="BZ30" s="211" t="s">
        <v>38</v>
      </c>
    </row>
    <row r="31" spans="1:78" s="182" customFormat="1" ht="31.5">
      <c r="A31" s="45"/>
      <c r="B31" s="270" t="s">
        <v>50</v>
      </c>
      <c r="C31" s="268"/>
      <c r="D31" s="171">
        <f t="shared" si="6"/>
        <v>0</v>
      </c>
      <c r="E31" s="171">
        <f t="shared" si="7"/>
        <v>0</v>
      </c>
      <c r="F31" s="171">
        <f t="shared" si="8"/>
        <v>0</v>
      </c>
      <c r="G31" s="171">
        <f t="shared" si="9"/>
        <v>0</v>
      </c>
      <c r="H31" s="171">
        <f t="shared" si="10"/>
        <v>0</v>
      </c>
      <c r="I31" s="171">
        <f t="shared" si="11"/>
        <v>0</v>
      </c>
      <c r="J31" s="171">
        <f t="shared" si="12"/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0</v>
      </c>
      <c r="S31" s="171">
        <v>0</v>
      </c>
      <c r="T31" s="171">
        <v>0</v>
      </c>
      <c r="U31" s="171">
        <v>0</v>
      </c>
      <c r="V31" s="171">
        <v>0</v>
      </c>
      <c r="W31" s="171">
        <v>0</v>
      </c>
      <c r="X31" s="171">
        <v>0</v>
      </c>
      <c r="Y31" s="171">
        <v>0</v>
      </c>
      <c r="Z31" s="171">
        <v>0</v>
      </c>
      <c r="AA31" s="171">
        <v>0</v>
      </c>
      <c r="AB31" s="171">
        <v>0</v>
      </c>
      <c r="AC31" s="171">
        <v>0</v>
      </c>
      <c r="AD31" s="171">
        <v>0</v>
      </c>
      <c r="AE31" s="171">
        <v>0</v>
      </c>
      <c r="AF31" s="171">
        <v>0</v>
      </c>
      <c r="AG31" s="171">
        <v>0</v>
      </c>
      <c r="AH31" s="171">
        <v>0</v>
      </c>
      <c r="AI31" s="171">
        <v>0</v>
      </c>
      <c r="AJ31" s="171">
        <v>0</v>
      </c>
      <c r="AK31" s="171">
        <v>0</v>
      </c>
      <c r="AL31" s="171">
        <v>0</v>
      </c>
      <c r="AM31" s="171">
        <f t="shared" si="13"/>
        <v>0</v>
      </c>
      <c r="AN31" s="171">
        <f t="shared" si="14"/>
        <v>0.21679145</v>
      </c>
      <c r="AO31" s="171">
        <f t="shared" si="15"/>
        <v>0</v>
      </c>
      <c r="AP31" s="171">
        <f t="shared" si="16"/>
        <v>0</v>
      </c>
      <c r="AQ31" s="171">
        <f t="shared" si="17"/>
        <v>0.32</v>
      </c>
      <c r="AR31" s="171">
        <f t="shared" si="18"/>
        <v>0</v>
      </c>
      <c r="AS31" s="171">
        <f t="shared" si="19"/>
        <v>0</v>
      </c>
      <c r="AT31" s="171">
        <v>0</v>
      </c>
      <c r="AU31" s="171">
        <v>0</v>
      </c>
      <c r="AV31" s="171">
        <v>0</v>
      </c>
      <c r="AW31" s="171">
        <v>0</v>
      </c>
      <c r="AX31" s="171">
        <v>0</v>
      </c>
      <c r="AY31" s="171">
        <v>0</v>
      </c>
      <c r="AZ31" s="171">
        <v>0</v>
      </c>
      <c r="BA31" s="171">
        <v>0</v>
      </c>
      <c r="BB31" s="285">
        <v>0</v>
      </c>
      <c r="BC31" s="285">
        <v>0</v>
      </c>
      <c r="BD31" s="285">
        <v>0</v>
      </c>
      <c r="BE31" s="285">
        <v>0</v>
      </c>
      <c r="BF31" s="285">
        <v>0</v>
      </c>
      <c r="BG31" s="285">
        <v>0</v>
      </c>
      <c r="BH31" s="285">
        <v>0</v>
      </c>
      <c r="BI31" s="306">
        <v>0</v>
      </c>
      <c r="BJ31" s="285">
        <v>0</v>
      </c>
      <c r="BK31" s="285">
        <v>0</v>
      </c>
      <c r="BL31" s="285">
        <v>0</v>
      </c>
      <c r="BM31" s="285">
        <v>0</v>
      </c>
      <c r="BN31" s="285">
        <v>0</v>
      </c>
      <c r="BO31" s="285">
        <v>0</v>
      </c>
      <c r="BP31" s="285">
        <f>216.79145/1000</f>
        <v>0.21679145</v>
      </c>
      <c r="BQ31" s="138">
        <v>0</v>
      </c>
      <c r="BR31" s="138">
        <v>0</v>
      </c>
      <c r="BS31" s="138">
        <v>0.32</v>
      </c>
      <c r="BT31" s="138">
        <v>0</v>
      </c>
      <c r="BU31" s="138">
        <v>0</v>
      </c>
      <c r="BV31" s="171">
        <f t="shared" si="20"/>
        <v>0.21679145</v>
      </c>
      <c r="BW31" s="210"/>
      <c r="BX31" s="171">
        <f t="shared" si="21"/>
        <v>0</v>
      </c>
      <c r="BY31" s="171"/>
      <c r="BZ31" s="211" t="s">
        <v>38</v>
      </c>
    </row>
    <row r="32" spans="1:78" s="182" customFormat="1" ht="31.5">
      <c r="A32" s="45"/>
      <c r="B32" s="270" t="s">
        <v>52</v>
      </c>
      <c r="C32" s="268"/>
      <c r="D32" s="171">
        <f t="shared" si="6"/>
        <v>0</v>
      </c>
      <c r="E32" s="171">
        <f t="shared" si="7"/>
        <v>0</v>
      </c>
      <c r="F32" s="171">
        <f t="shared" si="8"/>
        <v>0</v>
      </c>
      <c r="G32" s="171">
        <f t="shared" si="9"/>
        <v>0</v>
      </c>
      <c r="H32" s="171">
        <f t="shared" si="10"/>
        <v>0</v>
      </c>
      <c r="I32" s="171">
        <f t="shared" si="11"/>
        <v>0</v>
      </c>
      <c r="J32" s="171">
        <f t="shared" si="12"/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71">
        <v>0</v>
      </c>
      <c r="V32" s="171">
        <v>0</v>
      </c>
      <c r="W32" s="171">
        <v>0</v>
      </c>
      <c r="X32" s="171">
        <v>0</v>
      </c>
      <c r="Y32" s="171">
        <v>0</v>
      </c>
      <c r="Z32" s="171">
        <v>0</v>
      </c>
      <c r="AA32" s="171">
        <v>0</v>
      </c>
      <c r="AB32" s="171">
        <v>0</v>
      </c>
      <c r="AC32" s="171">
        <v>0</v>
      </c>
      <c r="AD32" s="171">
        <v>0</v>
      </c>
      <c r="AE32" s="171">
        <v>0</v>
      </c>
      <c r="AF32" s="171">
        <v>0</v>
      </c>
      <c r="AG32" s="171">
        <v>0</v>
      </c>
      <c r="AH32" s="171">
        <v>0</v>
      </c>
      <c r="AI32" s="171">
        <v>0</v>
      </c>
      <c r="AJ32" s="171">
        <v>0</v>
      </c>
      <c r="AK32" s="171">
        <v>0</v>
      </c>
      <c r="AL32" s="171">
        <v>0</v>
      </c>
      <c r="AM32" s="171">
        <f t="shared" si="13"/>
        <v>0</v>
      </c>
      <c r="AN32" s="171">
        <f t="shared" si="14"/>
        <v>0.19787053</v>
      </c>
      <c r="AO32" s="171">
        <f t="shared" si="15"/>
        <v>0</v>
      </c>
      <c r="AP32" s="171">
        <f t="shared" si="16"/>
        <v>0</v>
      </c>
      <c r="AQ32" s="171">
        <f t="shared" si="17"/>
        <v>0.25</v>
      </c>
      <c r="AR32" s="171">
        <f t="shared" si="18"/>
        <v>0</v>
      </c>
      <c r="AS32" s="171">
        <f t="shared" si="19"/>
        <v>0</v>
      </c>
      <c r="AT32" s="171">
        <v>0</v>
      </c>
      <c r="AU32" s="171">
        <v>0</v>
      </c>
      <c r="AV32" s="171">
        <v>0</v>
      </c>
      <c r="AW32" s="171">
        <v>0</v>
      </c>
      <c r="AX32" s="171">
        <v>0</v>
      </c>
      <c r="AY32" s="171">
        <v>0</v>
      </c>
      <c r="AZ32" s="171">
        <v>0</v>
      </c>
      <c r="BA32" s="171">
        <v>0</v>
      </c>
      <c r="BB32" s="285">
        <v>0</v>
      </c>
      <c r="BC32" s="285">
        <v>0</v>
      </c>
      <c r="BD32" s="285">
        <v>0</v>
      </c>
      <c r="BE32" s="285">
        <v>0</v>
      </c>
      <c r="BF32" s="285">
        <v>0</v>
      </c>
      <c r="BG32" s="285">
        <v>0</v>
      </c>
      <c r="BH32" s="285">
        <v>0</v>
      </c>
      <c r="BI32" s="306">
        <v>0</v>
      </c>
      <c r="BJ32" s="285">
        <v>0</v>
      </c>
      <c r="BK32" s="285">
        <v>0</v>
      </c>
      <c r="BL32" s="285">
        <v>0</v>
      </c>
      <c r="BM32" s="285">
        <v>0</v>
      </c>
      <c r="BN32" s="285">
        <v>0</v>
      </c>
      <c r="BO32" s="285">
        <v>0</v>
      </c>
      <c r="BP32" s="285">
        <f>197.87053/1000</f>
        <v>0.19787053</v>
      </c>
      <c r="BQ32" s="138">
        <v>0</v>
      </c>
      <c r="BR32" s="138">
        <v>0</v>
      </c>
      <c r="BS32" s="138">
        <v>0.25</v>
      </c>
      <c r="BT32" s="138">
        <v>0</v>
      </c>
      <c r="BU32" s="138">
        <v>0</v>
      </c>
      <c r="BV32" s="171">
        <f t="shared" si="20"/>
        <v>0.19787053</v>
      </c>
      <c r="BW32" s="210"/>
      <c r="BX32" s="171">
        <f t="shared" si="21"/>
        <v>0</v>
      </c>
      <c r="BY32" s="171"/>
      <c r="BZ32" s="211" t="s">
        <v>38</v>
      </c>
    </row>
    <row r="33" spans="1:78" s="165" customFormat="1" ht="31.5">
      <c r="A33" s="49" t="s">
        <v>53</v>
      </c>
      <c r="B33" s="230" t="s">
        <v>54</v>
      </c>
      <c r="C33" s="269"/>
      <c r="D33" s="214">
        <f aca="true" t="shared" si="22" ref="D33:AI33">D34+D37+D50+D56</f>
        <v>0</v>
      </c>
      <c r="E33" s="214">
        <f t="shared" si="22"/>
        <v>12.194854728000001</v>
      </c>
      <c r="F33" s="214">
        <f t="shared" si="22"/>
        <v>0</v>
      </c>
      <c r="G33" s="214">
        <f t="shared" si="22"/>
        <v>0</v>
      </c>
      <c r="H33" s="214">
        <f t="shared" si="22"/>
        <v>0</v>
      </c>
      <c r="I33" s="214">
        <f t="shared" si="22"/>
        <v>0</v>
      </c>
      <c r="J33" s="214">
        <f t="shared" si="22"/>
        <v>0</v>
      </c>
      <c r="K33" s="214">
        <f t="shared" si="22"/>
        <v>0</v>
      </c>
      <c r="L33" s="214">
        <f t="shared" si="22"/>
        <v>0</v>
      </c>
      <c r="M33" s="214">
        <f t="shared" si="22"/>
        <v>0</v>
      </c>
      <c r="N33" s="214">
        <f t="shared" si="22"/>
        <v>0</v>
      </c>
      <c r="O33" s="214">
        <f t="shared" si="22"/>
        <v>0</v>
      </c>
      <c r="P33" s="214">
        <f t="shared" si="22"/>
        <v>0</v>
      </c>
      <c r="Q33" s="214">
        <f t="shared" si="22"/>
        <v>0</v>
      </c>
      <c r="R33" s="214">
        <f t="shared" si="22"/>
        <v>0</v>
      </c>
      <c r="S33" s="214">
        <f t="shared" si="22"/>
        <v>0.239476752</v>
      </c>
      <c r="T33" s="214">
        <f t="shared" si="22"/>
        <v>0</v>
      </c>
      <c r="U33" s="214">
        <f t="shared" si="22"/>
        <v>0</v>
      </c>
      <c r="V33" s="214">
        <f t="shared" si="22"/>
        <v>0</v>
      </c>
      <c r="W33" s="214">
        <f t="shared" si="22"/>
        <v>0</v>
      </c>
      <c r="X33" s="214">
        <f t="shared" si="22"/>
        <v>0</v>
      </c>
      <c r="Y33" s="214">
        <f t="shared" si="22"/>
        <v>0</v>
      </c>
      <c r="Z33" s="214">
        <f t="shared" si="22"/>
        <v>2.115377976</v>
      </c>
      <c r="AA33" s="214">
        <f t="shared" si="22"/>
        <v>0</v>
      </c>
      <c r="AB33" s="214">
        <f t="shared" si="22"/>
        <v>0</v>
      </c>
      <c r="AC33" s="214">
        <f t="shared" si="22"/>
        <v>0</v>
      </c>
      <c r="AD33" s="214">
        <f t="shared" si="22"/>
        <v>0</v>
      </c>
      <c r="AE33" s="214">
        <f t="shared" si="22"/>
        <v>0</v>
      </c>
      <c r="AF33" s="214">
        <f t="shared" si="22"/>
        <v>0</v>
      </c>
      <c r="AG33" s="214">
        <f t="shared" si="22"/>
        <v>9.84</v>
      </c>
      <c r="AH33" s="214">
        <f t="shared" si="22"/>
        <v>0</v>
      </c>
      <c r="AI33" s="214">
        <f t="shared" si="22"/>
        <v>0</v>
      </c>
      <c r="AJ33" s="214">
        <f aca="true" t="shared" si="23" ref="AJ33:BK33">AJ34+AJ37+AJ50+AJ56</f>
        <v>0</v>
      </c>
      <c r="AK33" s="214">
        <f t="shared" si="23"/>
        <v>0</v>
      </c>
      <c r="AL33" s="214">
        <f t="shared" si="23"/>
        <v>0</v>
      </c>
      <c r="AM33" s="214">
        <f t="shared" si="23"/>
        <v>0</v>
      </c>
      <c r="AN33" s="214">
        <f t="shared" si="23"/>
        <v>1.97932964</v>
      </c>
      <c r="AO33" s="214">
        <f t="shared" si="23"/>
        <v>1.03</v>
      </c>
      <c r="AP33" s="214">
        <f t="shared" si="23"/>
        <v>0</v>
      </c>
      <c r="AQ33" s="214">
        <f t="shared" si="23"/>
        <v>2.584</v>
      </c>
      <c r="AR33" s="214">
        <f t="shared" si="23"/>
        <v>0</v>
      </c>
      <c r="AS33" s="214">
        <f t="shared" si="23"/>
        <v>0</v>
      </c>
      <c r="AT33" s="214">
        <f t="shared" si="23"/>
        <v>0</v>
      </c>
      <c r="AU33" s="214">
        <f t="shared" si="23"/>
        <v>0.43529468000000004</v>
      </c>
      <c r="AV33" s="214">
        <f t="shared" si="23"/>
        <v>0.63</v>
      </c>
      <c r="AW33" s="214">
        <f t="shared" si="23"/>
        <v>0</v>
      </c>
      <c r="AX33" s="214">
        <f t="shared" si="23"/>
        <v>0.025</v>
      </c>
      <c r="AY33" s="214">
        <f t="shared" si="23"/>
        <v>0</v>
      </c>
      <c r="AZ33" s="214">
        <f t="shared" si="23"/>
        <v>0</v>
      </c>
      <c r="BA33" s="214">
        <f t="shared" si="23"/>
        <v>0</v>
      </c>
      <c r="BB33" s="284">
        <f t="shared" si="23"/>
        <v>0.77951162</v>
      </c>
      <c r="BC33" s="284">
        <f t="shared" si="23"/>
        <v>0</v>
      </c>
      <c r="BD33" s="284">
        <f t="shared" si="23"/>
        <v>0</v>
      </c>
      <c r="BE33" s="284">
        <f t="shared" si="23"/>
        <v>0.83</v>
      </c>
      <c r="BF33" s="284">
        <f t="shared" si="23"/>
        <v>0</v>
      </c>
      <c r="BG33" s="284">
        <f t="shared" si="23"/>
        <v>0</v>
      </c>
      <c r="BH33" s="286">
        <f t="shared" si="23"/>
        <v>0</v>
      </c>
      <c r="BI33" s="286">
        <f t="shared" si="23"/>
        <v>0.34869948</v>
      </c>
      <c r="BJ33" s="286">
        <f t="shared" si="23"/>
        <v>0.4</v>
      </c>
      <c r="BK33" s="286">
        <f t="shared" si="23"/>
        <v>0</v>
      </c>
      <c r="BL33" s="286">
        <v>0</v>
      </c>
      <c r="BM33" s="286">
        <f aca="true" t="shared" si="24" ref="BM33:BU33">BM34+BM37+BM50+BM56</f>
        <v>0</v>
      </c>
      <c r="BN33" s="286">
        <f t="shared" si="24"/>
        <v>0</v>
      </c>
      <c r="BO33" s="284">
        <f t="shared" si="24"/>
        <v>0</v>
      </c>
      <c r="BP33" s="284">
        <f t="shared" si="24"/>
        <v>0.41582386000000005</v>
      </c>
      <c r="BQ33" s="214">
        <f t="shared" si="24"/>
        <v>0</v>
      </c>
      <c r="BR33" s="214">
        <f t="shared" si="24"/>
        <v>0</v>
      </c>
      <c r="BS33" s="214">
        <f t="shared" si="24"/>
        <v>1.729</v>
      </c>
      <c r="BT33" s="214">
        <f t="shared" si="24"/>
        <v>0</v>
      </c>
      <c r="BU33" s="214">
        <f t="shared" si="24"/>
        <v>0</v>
      </c>
      <c r="BV33" s="215">
        <f t="shared" si="20"/>
        <v>-10.215525088000001</v>
      </c>
      <c r="BW33" s="216">
        <f>BV33/E33</f>
        <v>-0.8376914129648991</v>
      </c>
      <c r="BX33" s="214">
        <f>BX34</f>
        <v>0</v>
      </c>
      <c r="BY33" s="214">
        <f>0</f>
        <v>0</v>
      </c>
      <c r="BZ33" s="29"/>
    </row>
    <row r="34" spans="1:78" s="165" customFormat="1" ht="31.5">
      <c r="A34" s="137" t="s">
        <v>164</v>
      </c>
      <c r="B34" s="230" t="s">
        <v>56</v>
      </c>
      <c r="C34" s="269"/>
      <c r="D34" s="214">
        <f aca="true" t="shared" si="25" ref="D34:AI34">D35+D36</f>
        <v>0</v>
      </c>
      <c r="E34" s="214">
        <f t="shared" si="25"/>
        <v>5.4</v>
      </c>
      <c r="F34" s="214">
        <f t="shared" si="25"/>
        <v>0</v>
      </c>
      <c r="G34" s="214">
        <f t="shared" si="25"/>
        <v>0</v>
      </c>
      <c r="H34" s="214">
        <f t="shared" si="25"/>
        <v>0</v>
      </c>
      <c r="I34" s="214">
        <f t="shared" si="25"/>
        <v>0</v>
      </c>
      <c r="J34" s="214">
        <f t="shared" si="25"/>
        <v>0</v>
      </c>
      <c r="K34" s="214">
        <f t="shared" si="25"/>
        <v>0</v>
      </c>
      <c r="L34" s="214">
        <f t="shared" si="25"/>
        <v>0</v>
      </c>
      <c r="M34" s="214">
        <f t="shared" si="25"/>
        <v>0</v>
      </c>
      <c r="N34" s="214">
        <f t="shared" si="25"/>
        <v>0</v>
      </c>
      <c r="O34" s="214">
        <f t="shared" si="25"/>
        <v>0</v>
      </c>
      <c r="P34" s="214">
        <f t="shared" si="25"/>
        <v>0</v>
      </c>
      <c r="Q34" s="214">
        <f t="shared" si="25"/>
        <v>0</v>
      </c>
      <c r="R34" s="214">
        <f t="shared" si="25"/>
        <v>0</v>
      </c>
      <c r="S34" s="214">
        <f t="shared" si="25"/>
        <v>0</v>
      </c>
      <c r="T34" s="214">
        <f t="shared" si="25"/>
        <v>0</v>
      </c>
      <c r="U34" s="214">
        <f t="shared" si="25"/>
        <v>0</v>
      </c>
      <c r="V34" s="214">
        <f t="shared" si="25"/>
        <v>0</v>
      </c>
      <c r="W34" s="214">
        <f t="shared" si="25"/>
        <v>0</v>
      </c>
      <c r="X34" s="214">
        <f t="shared" si="25"/>
        <v>0</v>
      </c>
      <c r="Y34" s="214">
        <f t="shared" si="25"/>
        <v>0</v>
      </c>
      <c r="Z34" s="214">
        <f t="shared" si="25"/>
        <v>0</v>
      </c>
      <c r="AA34" s="214">
        <f t="shared" si="25"/>
        <v>0</v>
      </c>
      <c r="AB34" s="214">
        <f t="shared" si="25"/>
        <v>0</v>
      </c>
      <c r="AC34" s="214">
        <f t="shared" si="25"/>
        <v>0</v>
      </c>
      <c r="AD34" s="214">
        <f t="shared" si="25"/>
        <v>0</v>
      </c>
      <c r="AE34" s="214">
        <f t="shared" si="25"/>
        <v>0</v>
      </c>
      <c r="AF34" s="214">
        <f t="shared" si="25"/>
        <v>0</v>
      </c>
      <c r="AG34" s="214">
        <f t="shared" si="25"/>
        <v>5.4</v>
      </c>
      <c r="AH34" s="214">
        <f t="shared" si="25"/>
        <v>0</v>
      </c>
      <c r="AI34" s="214">
        <f t="shared" si="25"/>
        <v>0</v>
      </c>
      <c r="AJ34" s="214">
        <f aca="true" t="shared" si="26" ref="AJ34:BO34">AJ35+AJ36</f>
        <v>0</v>
      </c>
      <c r="AK34" s="214">
        <f t="shared" si="26"/>
        <v>0</v>
      </c>
      <c r="AL34" s="214">
        <f t="shared" si="26"/>
        <v>0</v>
      </c>
      <c r="AM34" s="214">
        <f t="shared" si="26"/>
        <v>0</v>
      </c>
      <c r="AN34" s="214">
        <f t="shared" si="26"/>
        <v>0.044</v>
      </c>
      <c r="AO34" s="214">
        <f t="shared" si="26"/>
        <v>0</v>
      </c>
      <c r="AP34" s="214">
        <f t="shared" si="26"/>
        <v>0</v>
      </c>
      <c r="AQ34" s="214">
        <f t="shared" si="26"/>
        <v>0</v>
      </c>
      <c r="AR34" s="214">
        <f t="shared" si="26"/>
        <v>0</v>
      </c>
      <c r="AS34" s="214">
        <f t="shared" si="26"/>
        <v>0</v>
      </c>
      <c r="AT34" s="214">
        <f t="shared" si="26"/>
        <v>0</v>
      </c>
      <c r="AU34" s="214">
        <f t="shared" si="26"/>
        <v>0</v>
      </c>
      <c r="AV34" s="214">
        <f t="shared" si="26"/>
        <v>0</v>
      </c>
      <c r="AW34" s="214">
        <f t="shared" si="26"/>
        <v>0</v>
      </c>
      <c r="AX34" s="214">
        <f t="shared" si="26"/>
        <v>0</v>
      </c>
      <c r="AY34" s="214">
        <f t="shared" si="26"/>
        <v>0</v>
      </c>
      <c r="AZ34" s="214">
        <f t="shared" si="26"/>
        <v>0</v>
      </c>
      <c r="BA34" s="214">
        <f t="shared" si="26"/>
        <v>0</v>
      </c>
      <c r="BB34" s="284">
        <f t="shared" si="26"/>
        <v>0.044</v>
      </c>
      <c r="BC34" s="284">
        <f t="shared" si="26"/>
        <v>0</v>
      </c>
      <c r="BD34" s="284">
        <f t="shared" si="26"/>
        <v>0</v>
      </c>
      <c r="BE34" s="284">
        <f t="shared" si="26"/>
        <v>0</v>
      </c>
      <c r="BF34" s="284">
        <f t="shared" si="26"/>
        <v>0</v>
      </c>
      <c r="BG34" s="284">
        <f t="shared" si="26"/>
        <v>0</v>
      </c>
      <c r="BH34" s="286">
        <f t="shared" si="26"/>
        <v>0</v>
      </c>
      <c r="BI34" s="286">
        <f t="shared" si="26"/>
        <v>0</v>
      </c>
      <c r="BJ34" s="286">
        <f t="shared" si="26"/>
        <v>0</v>
      </c>
      <c r="BK34" s="286">
        <f t="shared" si="26"/>
        <v>0</v>
      </c>
      <c r="BL34" s="286">
        <f t="shared" si="26"/>
        <v>0</v>
      </c>
      <c r="BM34" s="286">
        <f t="shared" si="26"/>
        <v>0</v>
      </c>
      <c r="BN34" s="286">
        <f t="shared" si="26"/>
        <v>0</v>
      </c>
      <c r="BO34" s="284">
        <f t="shared" si="26"/>
        <v>0</v>
      </c>
      <c r="BP34" s="284">
        <f aca="true" t="shared" si="27" ref="BP34:BV34">BP35+BP36</f>
        <v>0</v>
      </c>
      <c r="BQ34" s="214">
        <f t="shared" si="27"/>
        <v>0</v>
      </c>
      <c r="BR34" s="214">
        <f t="shared" si="27"/>
        <v>0</v>
      </c>
      <c r="BS34" s="214">
        <f t="shared" si="27"/>
        <v>0</v>
      </c>
      <c r="BT34" s="214">
        <f t="shared" si="27"/>
        <v>0</v>
      </c>
      <c r="BU34" s="214">
        <f t="shared" si="27"/>
        <v>0</v>
      </c>
      <c r="BV34" s="214">
        <f t="shared" si="27"/>
        <v>-5.356000000000001</v>
      </c>
      <c r="BW34" s="216">
        <f>BV34/E34</f>
        <v>-0.9918518518518519</v>
      </c>
      <c r="BX34" s="214">
        <f>BX35</f>
        <v>0</v>
      </c>
      <c r="BY34" s="214">
        <f>0</f>
        <v>0</v>
      </c>
      <c r="BZ34" s="29"/>
    </row>
    <row r="35" spans="1:78" s="165" customFormat="1" ht="47.25">
      <c r="A35" s="45" t="s">
        <v>57</v>
      </c>
      <c r="B35" s="228" t="s">
        <v>61</v>
      </c>
      <c r="C35" s="269"/>
      <c r="D35" s="171">
        <f aca="true" t="shared" si="28" ref="D35:J36">K35+R35++Y35+AF35</f>
        <v>0</v>
      </c>
      <c r="E35" s="171">
        <f t="shared" si="28"/>
        <v>0</v>
      </c>
      <c r="F35" s="171">
        <f t="shared" si="28"/>
        <v>0</v>
      </c>
      <c r="G35" s="171">
        <f t="shared" si="28"/>
        <v>0</v>
      </c>
      <c r="H35" s="171">
        <f t="shared" si="28"/>
        <v>0</v>
      </c>
      <c r="I35" s="171">
        <f t="shared" si="28"/>
        <v>0</v>
      </c>
      <c r="J35" s="171">
        <f t="shared" si="28"/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0</v>
      </c>
      <c r="AF35" s="171">
        <v>0</v>
      </c>
      <c r="AG35" s="171">
        <v>0</v>
      </c>
      <c r="AH35" s="171">
        <v>0</v>
      </c>
      <c r="AI35" s="171">
        <v>0</v>
      </c>
      <c r="AJ35" s="171">
        <v>0</v>
      </c>
      <c r="AK35" s="171">
        <v>0</v>
      </c>
      <c r="AL35" s="171">
        <v>0</v>
      </c>
      <c r="AM35" s="171">
        <f aca="true" t="shared" si="29" ref="AM35:AS36">AT35+BA35++BH35+BO35</f>
        <v>0</v>
      </c>
      <c r="AN35" s="171">
        <f t="shared" si="29"/>
        <v>0.044</v>
      </c>
      <c r="AO35" s="171">
        <f t="shared" si="29"/>
        <v>0</v>
      </c>
      <c r="AP35" s="171">
        <f t="shared" si="29"/>
        <v>0</v>
      </c>
      <c r="AQ35" s="171">
        <f t="shared" si="29"/>
        <v>0</v>
      </c>
      <c r="AR35" s="171">
        <f t="shared" si="29"/>
        <v>0</v>
      </c>
      <c r="AS35" s="171">
        <f t="shared" si="29"/>
        <v>0</v>
      </c>
      <c r="AT35" s="171">
        <v>0</v>
      </c>
      <c r="AU35" s="171">
        <v>0</v>
      </c>
      <c r="AV35" s="171">
        <v>0</v>
      </c>
      <c r="AW35" s="171">
        <v>0</v>
      </c>
      <c r="AX35" s="171">
        <v>0</v>
      </c>
      <c r="AY35" s="171">
        <v>0</v>
      </c>
      <c r="AZ35" s="171">
        <v>0</v>
      </c>
      <c r="BA35" s="171">
        <v>0</v>
      </c>
      <c r="BB35" s="285">
        <f>22000*2/1000000</f>
        <v>0.044</v>
      </c>
      <c r="BC35" s="285">
        <v>0</v>
      </c>
      <c r="BD35" s="285">
        <v>0</v>
      </c>
      <c r="BE35" s="285">
        <v>0</v>
      </c>
      <c r="BF35" s="285">
        <v>0</v>
      </c>
      <c r="BG35" s="285">
        <v>0</v>
      </c>
      <c r="BH35" s="285">
        <v>0</v>
      </c>
      <c r="BI35" s="285">
        <v>0</v>
      </c>
      <c r="BJ35" s="285">
        <v>0</v>
      </c>
      <c r="BK35" s="285">
        <v>0</v>
      </c>
      <c r="BL35" s="285">
        <v>0</v>
      </c>
      <c r="BM35" s="285">
        <v>0</v>
      </c>
      <c r="BN35" s="285">
        <v>0</v>
      </c>
      <c r="BO35" s="285">
        <v>0</v>
      </c>
      <c r="BP35" s="285">
        <v>0</v>
      </c>
      <c r="BQ35" s="171">
        <v>0</v>
      </c>
      <c r="BR35" s="171">
        <v>0</v>
      </c>
      <c r="BS35" s="171">
        <v>0</v>
      </c>
      <c r="BT35" s="171">
        <v>0</v>
      </c>
      <c r="BU35" s="171">
        <v>0</v>
      </c>
      <c r="BV35" s="171">
        <f>AN35-E35</f>
        <v>0.044</v>
      </c>
      <c r="BW35" s="216"/>
      <c r="BX35" s="171">
        <f>AM35-D35</f>
        <v>0</v>
      </c>
      <c r="BY35" s="171"/>
      <c r="BZ35" s="211" t="s">
        <v>209</v>
      </c>
    </row>
    <row r="36" spans="1:78" s="165" customFormat="1" ht="18.75">
      <c r="A36" s="137" t="s">
        <v>60</v>
      </c>
      <c r="B36" s="233" t="s">
        <v>58</v>
      </c>
      <c r="C36" s="269"/>
      <c r="D36" s="138">
        <f t="shared" si="28"/>
        <v>0</v>
      </c>
      <c r="E36" s="138">
        <f t="shared" si="28"/>
        <v>5.4</v>
      </c>
      <c r="F36" s="138">
        <f t="shared" si="28"/>
        <v>0</v>
      </c>
      <c r="G36" s="138">
        <f t="shared" si="28"/>
        <v>0</v>
      </c>
      <c r="H36" s="138">
        <f t="shared" si="28"/>
        <v>0</v>
      </c>
      <c r="I36" s="138">
        <f t="shared" si="28"/>
        <v>0</v>
      </c>
      <c r="J36" s="138">
        <f t="shared" si="28"/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  <c r="Y36" s="138">
        <v>0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38">
        <v>0</v>
      </c>
      <c r="AF36" s="171">
        <v>0</v>
      </c>
      <c r="AG36" s="138">
        <f>6.372/1.18</f>
        <v>5.4</v>
      </c>
      <c r="AH36" s="138">
        <v>0</v>
      </c>
      <c r="AI36" s="138">
        <v>0</v>
      </c>
      <c r="AJ36" s="138">
        <v>0</v>
      </c>
      <c r="AK36" s="138">
        <v>0</v>
      </c>
      <c r="AL36" s="138">
        <v>0</v>
      </c>
      <c r="AM36" s="138">
        <f t="shared" si="29"/>
        <v>0</v>
      </c>
      <c r="AN36" s="138">
        <f t="shared" si="29"/>
        <v>0</v>
      </c>
      <c r="AO36" s="138">
        <f t="shared" si="29"/>
        <v>0</v>
      </c>
      <c r="AP36" s="138">
        <f t="shared" si="29"/>
        <v>0</v>
      </c>
      <c r="AQ36" s="138">
        <f t="shared" si="29"/>
        <v>0</v>
      </c>
      <c r="AR36" s="138">
        <f t="shared" si="29"/>
        <v>0</v>
      </c>
      <c r="AS36" s="138">
        <f t="shared" si="29"/>
        <v>0</v>
      </c>
      <c r="AT36" s="138">
        <v>0</v>
      </c>
      <c r="AU36" s="171">
        <v>0</v>
      </c>
      <c r="AV36" s="138">
        <v>0</v>
      </c>
      <c r="AW36" s="138">
        <v>0</v>
      </c>
      <c r="AX36" s="138">
        <v>0</v>
      </c>
      <c r="AY36" s="138">
        <v>0</v>
      </c>
      <c r="AZ36" s="138">
        <v>0</v>
      </c>
      <c r="BA36" s="138">
        <v>0</v>
      </c>
      <c r="BB36" s="295">
        <v>0</v>
      </c>
      <c r="BC36" s="295">
        <v>0</v>
      </c>
      <c r="BD36" s="295">
        <v>0</v>
      </c>
      <c r="BE36" s="295">
        <v>0</v>
      </c>
      <c r="BF36" s="295">
        <v>0</v>
      </c>
      <c r="BG36" s="295">
        <v>0</v>
      </c>
      <c r="BH36" s="285">
        <v>0</v>
      </c>
      <c r="BI36" s="285">
        <v>0</v>
      </c>
      <c r="BJ36" s="285">
        <v>0</v>
      </c>
      <c r="BK36" s="285">
        <v>0</v>
      </c>
      <c r="BL36" s="285">
        <v>0</v>
      </c>
      <c r="BM36" s="285">
        <v>0</v>
      </c>
      <c r="BN36" s="285">
        <v>0</v>
      </c>
      <c r="BO36" s="295">
        <v>0</v>
      </c>
      <c r="BP36" s="295">
        <v>0</v>
      </c>
      <c r="BQ36" s="138">
        <v>0</v>
      </c>
      <c r="BR36" s="138">
        <v>0</v>
      </c>
      <c r="BS36" s="138">
        <v>0</v>
      </c>
      <c r="BT36" s="138">
        <v>0</v>
      </c>
      <c r="BU36" s="138">
        <v>0</v>
      </c>
      <c r="BV36" s="138">
        <f>AN36-E36</f>
        <v>-5.4</v>
      </c>
      <c r="BW36" s="210">
        <f aca="true" t="shared" si="30" ref="BW36:BW49">BV36/E36</f>
        <v>-1</v>
      </c>
      <c r="BX36" s="138">
        <f>AM36-D36</f>
        <v>0</v>
      </c>
      <c r="BY36" s="138">
        <v>0</v>
      </c>
      <c r="BZ36" s="211" t="s">
        <v>239</v>
      </c>
    </row>
    <row r="37" spans="1:78" s="165" customFormat="1" ht="18.75">
      <c r="A37" s="49" t="s">
        <v>62</v>
      </c>
      <c r="B37" s="234" t="s">
        <v>223</v>
      </c>
      <c r="C37" s="269"/>
      <c r="D37" s="214">
        <f>D38</f>
        <v>0</v>
      </c>
      <c r="E37" s="214">
        <f aca="true" t="shared" si="31" ref="E37:AJ37">SUM(E38:E49)</f>
        <v>6.794854728000001</v>
      </c>
      <c r="F37" s="214">
        <f t="shared" si="31"/>
        <v>0</v>
      </c>
      <c r="G37" s="214">
        <f t="shared" si="31"/>
        <v>0</v>
      </c>
      <c r="H37" s="214">
        <f t="shared" si="31"/>
        <v>0</v>
      </c>
      <c r="I37" s="214">
        <f t="shared" si="31"/>
        <v>0</v>
      </c>
      <c r="J37" s="214">
        <f t="shared" si="31"/>
        <v>0</v>
      </c>
      <c r="K37" s="214">
        <f t="shared" si="31"/>
        <v>0</v>
      </c>
      <c r="L37" s="214">
        <f t="shared" si="31"/>
        <v>0</v>
      </c>
      <c r="M37" s="214">
        <f t="shared" si="31"/>
        <v>0</v>
      </c>
      <c r="N37" s="214">
        <f t="shared" si="31"/>
        <v>0</v>
      </c>
      <c r="O37" s="214">
        <f t="shared" si="31"/>
        <v>0</v>
      </c>
      <c r="P37" s="214">
        <f t="shared" si="31"/>
        <v>0</v>
      </c>
      <c r="Q37" s="214">
        <f t="shared" si="31"/>
        <v>0</v>
      </c>
      <c r="R37" s="214">
        <f t="shared" si="31"/>
        <v>0</v>
      </c>
      <c r="S37" s="214">
        <f t="shared" si="31"/>
        <v>0.239476752</v>
      </c>
      <c r="T37" s="214">
        <f t="shared" si="31"/>
        <v>0</v>
      </c>
      <c r="U37" s="214">
        <f t="shared" si="31"/>
        <v>0</v>
      </c>
      <c r="V37" s="214">
        <f t="shared" si="31"/>
        <v>0</v>
      </c>
      <c r="W37" s="214">
        <f t="shared" si="31"/>
        <v>0</v>
      </c>
      <c r="X37" s="214">
        <f t="shared" si="31"/>
        <v>0</v>
      </c>
      <c r="Y37" s="214">
        <f t="shared" si="31"/>
        <v>0</v>
      </c>
      <c r="Z37" s="214">
        <f t="shared" si="31"/>
        <v>2.115377976</v>
      </c>
      <c r="AA37" s="214">
        <f t="shared" si="31"/>
        <v>0</v>
      </c>
      <c r="AB37" s="214">
        <f t="shared" si="31"/>
        <v>0</v>
      </c>
      <c r="AC37" s="214">
        <f t="shared" si="31"/>
        <v>0</v>
      </c>
      <c r="AD37" s="214">
        <f t="shared" si="31"/>
        <v>0</v>
      </c>
      <c r="AE37" s="214">
        <f t="shared" si="31"/>
        <v>0</v>
      </c>
      <c r="AF37" s="214">
        <f t="shared" si="31"/>
        <v>0</v>
      </c>
      <c r="AG37" s="214">
        <f t="shared" si="31"/>
        <v>4.44</v>
      </c>
      <c r="AH37" s="214">
        <f t="shared" si="31"/>
        <v>0</v>
      </c>
      <c r="AI37" s="214">
        <f t="shared" si="31"/>
        <v>0</v>
      </c>
      <c r="AJ37" s="214">
        <f t="shared" si="31"/>
        <v>0</v>
      </c>
      <c r="AK37" s="214">
        <f aca="true" t="shared" si="32" ref="AK37:BP37">SUM(AK38:AK49)</f>
        <v>0</v>
      </c>
      <c r="AL37" s="214">
        <f t="shared" si="32"/>
        <v>0</v>
      </c>
      <c r="AM37" s="214">
        <f t="shared" si="32"/>
        <v>0</v>
      </c>
      <c r="AN37" s="214">
        <f t="shared" si="32"/>
        <v>0.12569472</v>
      </c>
      <c r="AO37" s="214">
        <f t="shared" si="32"/>
        <v>0</v>
      </c>
      <c r="AP37" s="214">
        <f t="shared" si="32"/>
        <v>0</v>
      </c>
      <c r="AQ37" s="214">
        <f t="shared" si="32"/>
        <v>1.729</v>
      </c>
      <c r="AR37" s="214">
        <f t="shared" si="32"/>
        <v>0</v>
      </c>
      <c r="AS37" s="214">
        <f t="shared" si="32"/>
        <v>0</v>
      </c>
      <c r="AT37" s="214">
        <f t="shared" si="32"/>
        <v>0</v>
      </c>
      <c r="AU37" s="214">
        <f t="shared" si="32"/>
        <v>0</v>
      </c>
      <c r="AV37" s="214">
        <f t="shared" si="32"/>
        <v>0</v>
      </c>
      <c r="AW37" s="214">
        <f t="shared" si="32"/>
        <v>0</v>
      </c>
      <c r="AX37" s="214">
        <f t="shared" si="32"/>
        <v>0</v>
      </c>
      <c r="AY37" s="214">
        <f t="shared" si="32"/>
        <v>0</v>
      </c>
      <c r="AZ37" s="214">
        <f t="shared" si="32"/>
        <v>0</v>
      </c>
      <c r="BA37" s="214">
        <f t="shared" si="32"/>
        <v>0</v>
      </c>
      <c r="BB37" s="284">
        <f t="shared" si="32"/>
        <v>0</v>
      </c>
      <c r="BC37" s="284">
        <f t="shared" si="32"/>
        <v>0</v>
      </c>
      <c r="BD37" s="284">
        <f t="shared" si="32"/>
        <v>0</v>
      </c>
      <c r="BE37" s="284">
        <f t="shared" si="32"/>
        <v>0</v>
      </c>
      <c r="BF37" s="284">
        <f t="shared" si="32"/>
        <v>0</v>
      </c>
      <c r="BG37" s="284">
        <f t="shared" si="32"/>
        <v>0</v>
      </c>
      <c r="BH37" s="286">
        <f t="shared" si="32"/>
        <v>0</v>
      </c>
      <c r="BI37" s="286">
        <f t="shared" si="32"/>
        <v>0</v>
      </c>
      <c r="BJ37" s="286">
        <f t="shared" si="32"/>
        <v>0</v>
      </c>
      <c r="BK37" s="286">
        <f t="shared" si="32"/>
        <v>0</v>
      </c>
      <c r="BL37" s="286">
        <f t="shared" si="32"/>
        <v>0</v>
      </c>
      <c r="BM37" s="286">
        <f t="shared" si="32"/>
        <v>0</v>
      </c>
      <c r="BN37" s="286">
        <f t="shared" si="32"/>
        <v>0</v>
      </c>
      <c r="BO37" s="284">
        <f t="shared" si="32"/>
        <v>0</v>
      </c>
      <c r="BP37" s="284">
        <f t="shared" si="32"/>
        <v>0.12569472</v>
      </c>
      <c r="BQ37" s="214">
        <f aca="true" t="shared" si="33" ref="BQ37:BV37">SUM(BQ38:BQ49)</f>
        <v>0</v>
      </c>
      <c r="BR37" s="214">
        <f t="shared" si="33"/>
        <v>0</v>
      </c>
      <c r="BS37" s="214">
        <f t="shared" si="33"/>
        <v>1.729</v>
      </c>
      <c r="BT37" s="214">
        <f t="shared" si="33"/>
        <v>0</v>
      </c>
      <c r="BU37" s="214">
        <f t="shared" si="33"/>
        <v>0</v>
      </c>
      <c r="BV37" s="214">
        <f t="shared" si="33"/>
        <v>-6.669160008000001</v>
      </c>
      <c r="BW37" s="216">
        <f t="shared" si="30"/>
        <v>-0.9815014853103421</v>
      </c>
      <c r="BX37" s="214">
        <f>BX38</f>
        <v>0</v>
      </c>
      <c r="BY37" s="214">
        <f>0</f>
        <v>0</v>
      </c>
      <c r="BZ37" s="29"/>
    </row>
    <row r="38" spans="1:78" s="165" customFormat="1" ht="63">
      <c r="A38" s="45" t="s">
        <v>197</v>
      </c>
      <c r="B38" s="233" t="s">
        <v>65</v>
      </c>
      <c r="C38" s="269"/>
      <c r="D38" s="138">
        <f aca="true" t="shared" si="34" ref="D38:D49">K38+R38++Y38+AF38</f>
        <v>0</v>
      </c>
      <c r="E38" s="138">
        <f aca="true" t="shared" si="35" ref="E38:E49">L38+S38++Z38+AG38</f>
        <v>0.239476752</v>
      </c>
      <c r="F38" s="138">
        <f aca="true" t="shared" si="36" ref="F38:F49">M38+T38++AA38+AH38</f>
        <v>0</v>
      </c>
      <c r="G38" s="138">
        <f aca="true" t="shared" si="37" ref="G38:G49">N38+U38++AB38+AI38</f>
        <v>0</v>
      </c>
      <c r="H38" s="138">
        <f aca="true" t="shared" si="38" ref="H38:H49">O38+V38++AC38+AJ38</f>
        <v>0</v>
      </c>
      <c r="I38" s="138">
        <f aca="true" t="shared" si="39" ref="I38:I49">P38+W38++AD38+AK38</f>
        <v>0</v>
      </c>
      <c r="J38" s="138">
        <f aca="true" t="shared" si="40" ref="J38:J49">Q38+X38++AE38+AL38</f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f>0.28258256736/1.18</f>
        <v>0.239476752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38">
        <v>0</v>
      </c>
      <c r="AK38" s="138">
        <v>0</v>
      </c>
      <c r="AL38" s="138">
        <v>0</v>
      </c>
      <c r="AM38" s="138">
        <f aca="true" t="shared" si="41" ref="AM38:AM49">AT38+BA38++BH38+BO38</f>
        <v>0</v>
      </c>
      <c r="AN38" s="138">
        <f aca="true" t="shared" si="42" ref="AN38:AN49">AU38+BB38++BI38+BP38</f>
        <v>0</v>
      </c>
      <c r="AO38" s="138">
        <f aca="true" t="shared" si="43" ref="AO38:AO49">AV38+BC38++BJ38+BQ38</f>
        <v>0</v>
      </c>
      <c r="AP38" s="138">
        <f aca="true" t="shared" si="44" ref="AP38:AP49">AW38+BD38++BK38+BR38</f>
        <v>0</v>
      </c>
      <c r="AQ38" s="138">
        <f aca="true" t="shared" si="45" ref="AQ38:AQ49">AX38+BE38++BL38+BS38</f>
        <v>0</v>
      </c>
      <c r="AR38" s="138">
        <f aca="true" t="shared" si="46" ref="AR38:AR49">AY38+BF38++BM38+BT38</f>
        <v>0</v>
      </c>
      <c r="AS38" s="138">
        <f aca="true" t="shared" si="47" ref="AS38:AS49">AZ38+BG38++BN38+BU38</f>
        <v>0</v>
      </c>
      <c r="AT38" s="138">
        <v>0</v>
      </c>
      <c r="AU38" s="217">
        <v>0</v>
      </c>
      <c r="AV38" s="138">
        <v>0</v>
      </c>
      <c r="AW38" s="138">
        <v>0</v>
      </c>
      <c r="AX38" s="138">
        <v>0</v>
      </c>
      <c r="AY38" s="138">
        <v>0</v>
      </c>
      <c r="AZ38" s="138">
        <v>0</v>
      </c>
      <c r="BA38" s="138">
        <v>0</v>
      </c>
      <c r="BB38" s="295">
        <v>0</v>
      </c>
      <c r="BC38" s="295">
        <v>0</v>
      </c>
      <c r="BD38" s="295">
        <v>0</v>
      </c>
      <c r="BE38" s="295">
        <v>0</v>
      </c>
      <c r="BF38" s="295">
        <v>0</v>
      </c>
      <c r="BG38" s="295">
        <v>0</v>
      </c>
      <c r="BH38" s="285">
        <v>0</v>
      </c>
      <c r="BI38" s="285">
        <v>0</v>
      </c>
      <c r="BJ38" s="285">
        <v>0</v>
      </c>
      <c r="BK38" s="285">
        <v>0</v>
      </c>
      <c r="BL38" s="285">
        <v>0</v>
      </c>
      <c r="BM38" s="285">
        <v>0</v>
      </c>
      <c r="BN38" s="285">
        <v>0</v>
      </c>
      <c r="BO38" s="295">
        <v>0</v>
      </c>
      <c r="BP38" s="295">
        <v>0</v>
      </c>
      <c r="BQ38" s="138">
        <v>0</v>
      </c>
      <c r="BR38" s="138">
        <v>0</v>
      </c>
      <c r="BS38" s="138">
        <v>0</v>
      </c>
      <c r="BT38" s="138">
        <v>0</v>
      </c>
      <c r="BU38" s="138">
        <v>0</v>
      </c>
      <c r="BV38" s="138">
        <f aca="true" t="shared" si="48" ref="BV38:BV49">AN38-E38</f>
        <v>-0.239476752</v>
      </c>
      <c r="BW38" s="210">
        <f t="shared" si="30"/>
        <v>-1</v>
      </c>
      <c r="BX38" s="138">
        <f aca="true" t="shared" si="49" ref="BX38:BX49">AM38-D38</f>
        <v>0</v>
      </c>
      <c r="BY38" s="138"/>
      <c r="BZ38" s="211" t="s">
        <v>59</v>
      </c>
    </row>
    <row r="39" spans="1:78" s="182" customFormat="1" ht="63">
      <c r="A39" s="45" t="s">
        <v>198</v>
      </c>
      <c r="B39" s="233" t="s">
        <v>68</v>
      </c>
      <c r="C39" s="268"/>
      <c r="D39" s="138">
        <f t="shared" si="34"/>
        <v>0</v>
      </c>
      <c r="E39" s="138">
        <f t="shared" si="35"/>
        <v>0.39912792</v>
      </c>
      <c r="F39" s="138">
        <f t="shared" si="36"/>
        <v>0</v>
      </c>
      <c r="G39" s="138">
        <f t="shared" si="37"/>
        <v>0</v>
      </c>
      <c r="H39" s="138">
        <f t="shared" si="38"/>
        <v>0</v>
      </c>
      <c r="I39" s="138">
        <f t="shared" si="39"/>
        <v>0</v>
      </c>
      <c r="J39" s="138">
        <f t="shared" si="40"/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f>'12 освоение'!V36</f>
        <v>0.39912792</v>
      </c>
      <c r="AA39" s="138">
        <v>0</v>
      </c>
      <c r="AB39" s="138">
        <v>0</v>
      </c>
      <c r="AC39" s="138">
        <v>0</v>
      </c>
      <c r="AD39" s="138">
        <v>0</v>
      </c>
      <c r="AE39" s="138">
        <v>0</v>
      </c>
      <c r="AF39" s="138">
        <v>0</v>
      </c>
      <c r="AG39" s="138">
        <v>0</v>
      </c>
      <c r="AH39" s="138">
        <v>0</v>
      </c>
      <c r="AI39" s="138">
        <v>0</v>
      </c>
      <c r="AJ39" s="138">
        <v>0</v>
      </c>
      <c r="AK39" s="138">
        <v>0</v>
      </c>
      <c r="AL39" s="138">
        <v>0</v>
      </c>
      <c r="AM39" s="138">
        <f t="shared" si="41"/>
        <v>0</v>
      </c>
      <c r="AN39" s="138">
        <f t="shared" si="42"/>
        <v>0</v>
      </c>
      <c r="AO39" s="138">
        <f t="shared" si="43"/>
        <v>0</v>
      </c>
      <c r="AP39" s="138">
        <f t="shared" si="44"/>
        <v>0</v>
      </c>
      <c r="AQ39" s="138">
        <f t="shared" si="45"/>
        <v>0</v>
      </c>
      <c r="AR39" s="138">
        <f t="shared" si="46"/>
        <v>0</v>
      </c>
      <c r="AS39" s="138">
        <f t="shared" si="47"/>
        <v>0</v>
      </c>
      <c r="AT39" s="138">
        <v>0</v>
      </c>
      <c r="AU39" s="217">
        <v>0</v>
      </c>
      <c r="AV39" s="138">
        <v>0</v>
      </c>
      <c r="AW39" s="138">
        <v>0</v>
      </c>
      <c r="AX39" s="138">
        <v>0</v>
      </c>
      <c r="AY39" s="138">
        <v>0</v>
      </c>
      <c r="AZ39" s="138">
        <v>0</v>
      </c>
      <c r="BA39" s="138">
        <v>0</v>
      </c>
      <c r="BB39" s="295">
        <v>0</v>
      </c>
      <c r="BC39" s="295">
        <v>0</v>
      </c>
      <c r="BD39" s="295">
        <v>0</v>
      </c>
      <c r="BE39" s="295">
        <v>0</v>
      </c>
      <c r="BF39" s="295">
        <v>0</v>
      </c>
      <c r="BG39" s="295">
        <v>0</v>
      </c>
      <c r="BH39" s="285">
        <v>0</v>
      </c>
      <c r="BI39" s="285">
        <v>0</v>
      </c>
      <c r="BJ39" s="285">
        <v>0</v>
      </c>
      <c r="BK39" s="285">
        <v>0</v>
      </c>
      <c r="BL39" s="285">
        <v>0</v>
      </c>
      <c r="BM39" s="285">
        <v>0</v>
      </c>
      <c r="BN39" s="285">
        <v>0</v>
      </c>
      <c r="BO39" s="295">
        <v>0</v>
      </c>
      <c r="BP39" s="295">
        <v>0</v>
      </c>
      <c r="BQ39" s="138">
        <v>0</v>
      </c>
      <c r="BR39" s="138">
        <v>0</v>
      </c>
      <c r="BS39" s="138">
        <v>0</v>
      </c>
      <c r="BT39" s="138">
        <v>0</v>
      </c>
      <c r="BU39" s="138">
        <v>0</v>
      </c>
      <c r="BV39" s="138">
        <f t="shared" si="48"/>
        <v>-0.39912792</v>
      </c>
      <c r="BW39" s="210">
        <f t="shared" si="30"/>
        <v>-1</v>
      </c>
      <c r="BX39" s="138">
        <f t="shared" si="49"/>
        <v>0</v>
      </c>
      <c r="BY39" s="138"/>
      <c r="BZ39" s="211" t="s">
        <v>59</v>
      </c>
    </row>
    <row r="40" spans="1:78" s="165" customFormat="1" ht="63">
      <c r="A40" s="45" t="s">
        <v>199</v>
      </c>
      <c r="B40" s="233" t="s">
        <v>70</v>
      </c>
      <c r="C40" s="269"/>
      <c r="D40" s="138">
        <f t="shared" si="34"/>
        <v>0</v>
      </c>
      <c r="E40" s="138">
        <f t="shared" si="35"/>
        <v>0.1756162848</v>
      </c>
      <c r="F40" s="138">
        <f t="shared" si="36"/>
        <v>0</v>
      </c>
      <c r="G40" s="138">
        <f t="shared" si="37"/>
        <v>0</v>
      </c>
      <c r="H40" s="138">
        <f t="shared" si="38"/>
        <v>0</v>
      </c>
      <c r="I40" s="138">
        <f t="shared" si="39"/>
        <v>0</v>
      </c>
      <c r="J40" s="138">
        <f t="shared" si="40"/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f>'12 освоение'!V37</f>
        <v>0.1756162848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38">
        <v>0</v>
      </c>
      <c r="AK40" s="138">
        <v>0</v>
      </c>
      <c r="AL40" s="138">
        <v>0</v>
      </c>
      <c r="AM40" s="138">
        <f t="shared" si="41"/>
        <v>0</v>
      </c>
      <c r="AN40" s="138">
        <f t="shared" si="42"/>
        <v>0</v>
      </c>
      <c r="AO40" s="138">
        <f t="shared" si="43"/>
        <v>0</v>
      </c>
      <c r="AP40" s="138">
        <f t="shared" si="44"/>
        <v>0</v>
      </c>
      <c r="AQ40" s="138">
        <f t="shared" si="45"/>
        <v>0</v>
      </c>
      <c r="AR40" s="138">
        <f t="shared" si="46"/>
        <v>0</v>
      </c>
      <c r="AS40" s="138">
        <f t="shared" si="47"/>
        <v>0</v>
      </c>
      <c r="AT40" s="138">
        <v>0</v>
      </c>
      <c r="AU40" s="217">
        <v>0</v>
      </c>
      <c r="AV40" s="138">
        <v>0</v>
      </c>
      <c r="AW40" s="138">
        <v>0</v>
      </c>
      <c r="AX40" s="138">
        <v>0</v>
      </c>
      <c r="AY40" s="138">
        <v>0</v>
      </c>
      <c r="AZ40" s="138">
        <v>0</v>
      </c>
      <c r="BA40" s="138">
        <v>0</v>
      </c>
      <c r="BB40" s="295">
        <v>0</v>
      </c>
      <c r="BC40" s="295">
        <v>0</v>
      </c>
      <c r="BD40" s="295">
        <v>0</v>
      </c>
      <c r="BE40" s="295">
        <v>0</v>
      </c>
      <c r="BF40" s="295">
        <v>0</v>
      </c>
      <c r="BG40" s="295">
        <v>0</v>
      </c>
      <c r="BH40" s="285">
        <v>0</v>
      </c>
      <c r="BI40" s="285">
        <v>0</v>
      </c>
      <c r="BJ40" s="285">
        <v>0</v>
      </c>
      <c r="BK40" s="285">
        <v>0</v>
      </c>
      <c r="BL40" s="285">
        <v>0</v>
      </c>
      <c r="BM40" s="285">
        <v>0</v>
      </c>
      <c r="BN40" s="285">
        <v>0</v>
      </c>
      <c r="BO40" s="295">
        <v>0</v>
      </c>
      <c r="BP40" s="295">
        <v>0</v>
      </c>
      <c r="BQ40" s="138">
        <v>0</v>
      </c>
      <c r="BR40" s="138">
        <v>0</v>
      </c>
      <c r="BS40" s="138">
        <v>0</v>
      </c>
      <c r="BT40" s="138">
        <v>0</v>
      </c>
      <c r="BU40" s="138">
        <v>0</v>
      </c>
      <c r="BV40" s="138">
        <f t="shared" si="48"/>
        <v>-0.1756162848</v>
      </c>
      <c r="BW40" s="210">
        <f t="shared" si="30"/>
        <v>-1</v>
      </c>
      <c r="BX40" s="138">
        <f t="shared" si="49"/>
        <v>0</v>
      </c>
      <c r="BY40" s="138"/>
      <c r="BZ40" s="211" t="s">
        <v>59</v>
      </c>
    </row>
    <row r="41" spans="1:78" s="165" customFormat="1" ht="63">
      <c r="A41" s="45" t="s">
        <v>200</v>
      </c>
      <c r="B41" s="233" t="s">
        <v>72</v>
      </c>
      <c r="C41" s="269"/>
      <c r="D41" s="138">
        <f t="shared" si="34"/>
        <v>0</v>
      </c>
      <c r="E41" s="138">
        <f t="shared" si="35"/>
        <v>0.1277209344</v>
      </c>
      <c r="F41" s="138">
        <f t="shared" si="36"/>
        <v>0</v>
      </c>
      <c r="G41" s="138">
        <f t="shared" si="37"/>
        <v>0</v>
      </c>
      <c r="H41" s="138">
        <f t="shared" si="38"/>
        <v>0</v>
      </c>
      <c r="I41" s="138">
        <f t="shared" si="39"/>
        <v>0</v>
      </c>
      <c r="J41" s="138">
        <f t="shared" si="40"/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f>'12 освоение'!V38</f>
        <v>0.1277209344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I41" s="138">
        <v>0</v>
      </c>
      <c r="AJ41" s="138">
        <v>0</v>
      </c>
      <c r="AK41" s="138">
        <v>0</v>
      </c>
      <c r="AL41" s="138">
        <v>0</v>
      </c>
      <c r="AM41" s="138">
        <f t="shared" si="41"/>
        <v>0</v>
      </c>
      <c r="AN41" s="138">
        <f t="shared" si="42"/>
        <v>0</v>
      </c>
      <c r="AO41" s="138">
        <f t="shared" si="43"/>
        <v>0</v>
      </c>
      <c r="AP41" s="138">
        <f t="shared" si="44"/>
        <v>0</v>
      </c>
      <c r="AQ41" s="138">
        <f t="shared" si="45"/>
        <v>0</v>
      </c>
      <c r="AR41" s="138">
        <f t="shared" si="46"/>
        <v>0</v>
      </c>
      <c r="AS41" s="138">
        <f t="shared" si="47"/>
        <v>0</v>
      </c>
      <c r="AT41" s="138">
        <v>0</v>
      </c>
      <c r="AU41" s="217">
        <v>0</v>
      </c>
      <c r="AV41" s="138">
        <v>0</v>
      </c>
      <c r="AW41" s="138">
        <v>0</v>
      </c>
      <c r="AX41" s="138">
        <v>0</v>
      </c>
      <c r="AY41" s="138">
        <v>0</v>
      </c>
      <c r="AZ41" s="138">
        <v>0</v>
      </c>
      <c r="BA41" s="138">
        <v>0</v>
      </c>
      <c r="BB41" s="295">
        <v>0</v>
      </c>
      <c r="BC41" s="295">
        <v>0</v>
      </c>
      <c r="BD41" s="295">
        <v>0</v>
      </c>
      <c r="BE41" s="295">
        <v>0</v>
      </c>
      <c r="BF41" s="295">
        <v>0</v>
      </c>
      <c r="BG41" s="295">
        <v>0</v>
      </c>
      <c r="BH41" s="285">
        <v>0</v>
      </c>
      <c r="BI41" s="285">
        <v>0</v>
      </c>
      <c r="BJ41" s="285">
        <v>0</v>
      </c>
      <c r="BK41" s="285">
        <v>0</v>
      </c>
      <c r="BL41" s="285">
        <v>0</v>
      </c>
      <c r="BM41" s="285">
        <v>0</v>
      </c>
      <c r="BN41" s="285">
        <v>0</v>
      </c>
      <c r="BO41" s="295">
        <v>0</v>
      </c>
      <c r="BP41" s="295">
        <v>0</v>
      </c>
      <c r="BQ41" s="138">
        <v>0</v>
      </c>
      <c r="BR41" s="138">
        <v>0</v>
      </c>
      <c r="BS41" s="138">
        <v>0</v>
      </c>
      <c r="BT41" s="138">
        <v>0</v>
      </c>
      <c r="BU41" s="138">
        <v>0</v>
      </c>
      <c r="BV41" s="138">
        <f t="shared" si="48"/>
        <v>-0.1277209344</v>
      </c>
      <c r="BW41" s="210">
        <f t="shared" si="30"/>
        <v>-1</v>
      </c>
      <c r="BX41" s="138">
        <f t="shared" si="49"/>
        <v>0</v>
      </c>
      <c r="BY41" s="138"/>
      <c r="BZ41" s="211" t="s">
        <v>59</v>
      </c>
    </row>
    <row r="42" spans="1:78" s="165" customFormat="1" ht="63">
      <c r="A42" s="45" t="s">
        <v>201</v>
      </c>
      <c r="B42" s="233" t="s">
        <v>74</v>
      </c>
      <c r="C42" s="269"/>
      <c r="D42" s="138">
        <f t="shared" si="34"/>
        <v>0</v>
      </c>
      <c r="E42" s="138">
        <f t="shared" si="35"/>
        <v>0.079825584</v>
      </c>
      <c r="F42" s="138">
        <f t="shared" si="36"/>
        <v>0</v>
      </c>
      <c r="G42" s="138">
        <f t="shared" si="37"/>
        <v>0</v>
      </c>
      <c r="H42" s="138">
        <f t="shared" si="38"/>
        <v>0</v>
      </c>
      <c r="I42" s="138">
        <f t="shared" si="39"/>
        <v>0</v>
      </c>
      <c r="J42" s="138">
        <f t="shared" si="40"/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f>'12 освоение'!V39</f>
        <v>0.079825584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0</v>
      </c>
      <c r="AJ42" s="138">
        <v>0</v>
      </c>
      <c r="AK42" s="138">
        <v>0</v>
      </c>
      <c r="AL42" s="138">
        <v>0</v>
      </c>
      <c r="AM42" s="138">
        <f t="shared" si="41"/>
        <v>0</v>
      </c>
      <c r="AN42" s="138">
        <f t="shared" si="42"/>
        <v>0</v>
      </c>
      <c r="AO42" s="138">
        <f t="shared" si="43"/>
        <v>0</v>
      </c>
      <c r="AP42" s="138">
        <f t="shared" si="44"/>
        <v>0</v>
      </c>
      <c r="AQ42" s="138">
        <f t="shared" si="45"/>
        <v>0</v>
      </c>
      <c r="AR42" s="138">
        <f t="shared" si="46"/>
        <v>0</v>
      </c>
      <c r="AS42" s="138">
        <f t="shared" si="47"/>
        <v>0</v>
      </c>
      <c r="AT42" s="138">
        <v>0</v>
      </c>
      <c r="AU42" s="217">
        <v>0</v>
      </c>
      <c r="AV42" s="138">
        <v>0</v>
      </c>
      <c r="AW42" s="138">
        <v>0</v>
      </c>
      <c r="AX42" s="138">
        <v>0</v>
      </c>
      <c r="AY42" s="138">
        <v>0</v>
      </c>
      <c r="AZ42" s="138">
        <v>0</v>
      </c>
      <c r="BA42" s="138">
        <v>0</v>
      </c>
      <c r="BB42" s="295">
        <v>0</v>
      </c>
      <c r="BC42" s="295">
        <v>0</v>
      </c>
      <c r="BD42" s="295">
        <v>0</v>
      </c>
      <c r="BE42" s="295">
        <v>0</v>
      </c>
      <c r="BF42" s="295">
        <v>0</v>
      </c>
      <c r="BG42" s="295">
        <v>0</v>
      </c>
      <c r="BH42" s="285">
        <v>0</v>
      </c>
      <c r="BI42" s="285">
        <v>0</v>
      </c>
      <c r="BJ42" s="285">
        <v>0</v>
      </c>
      <c r="BK42" s="285">
        <v>0</v>
      </c>
      <c r="BL42" s="285">
        <v>0</v>
      </c>
      <c r="BM42" s="285">
        <v>0</v>
      </c>
      <c r="BN42" s="285">
        <v>0</v>
      </c>
      <c r="BO42" s="295">
        <v>0</v>
      </c>
      <c r="BP42" s="295">
        <v>0</v>
      </c>
      <c r="BQ42" s="138">
        <v>0</v>
      </c>
      <c r="BR42" s="138">
        <v>0</v>
      </c>
      <c r="BS42" s="138">
        <v>0</v>
      </c>
      <c r="BT42" s="138">
        <v>0</v>
      </c>
      <c r="BU42" s="138">
        <v>0</v>
      </c>
      <c r="BV42" s="138">
        <f t="shared" si="48"/>
        <v>-0.079825584</v>
      </c>
      <c r="BW42" s="210">
        <f t="shared" si="30"/>
        <v>-1</v>
      </c>
      <c r="BX42" s="138">
        <f t="shared" si="49"/>
        <v>0</v>
      </c>
      <c r="BY42" s="138"/>
      <c r="BZ42" s="211" t="s">
        <v>59</v>
      </c>
    </row>
    <row r="43" spans="1:78" s="165" customFormat="1" ht="63">
      <c r="A43" s="45" t="s">
        <v>202</v>
      </c>
      <c r="B43" s="233" t="s">
        <v>76</v>
      </c>
      <c r="C43" s="269"/>
      <c r="D43" s="138">
        <f t="shared" si="34"/>
        <v>0</v>
      </c>
      <c r="E43" s="138">
        <f t="shared" si="35"/>
        <v>0.3911453616</v>
      </c>
      <c r="F43" s="138">
        <f t="shared" si="36"/>
        <v>0</v>
      </c>
      <c r="G43" s="138">
        <f t="shared" si="37"/>
        <v>0</v>
      </c>
      <c r="H43" s="138">
        <f t="shared" si="38"/>
        <v>0</v>
      </c>
      <c r="I43" s="138">
        <f t="shared" si="39"/>
        <v>0</v>
      </c>
      <c r="J43" s="138">
        <f t="shared" si="40"/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f>'12 освоение'!V40</f>
        <v>0.3911453616</v>
      </c>
      <c r="AA43" s="138">
        <v>0</v>
      </c>
      <c r="AB43" s="138">
        <v>0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I43" s="138">
        <v>0</v>
      </c>
      <c r="AJ43" s="138">
        <v>0</v>
      </c>
      <c r="AK43" s="138">
        <v>0</v>
      </c>
      <c r="AL43" s="138">
        <v>0</v>
      </c>
      <c r="AM43" s="138">
        <f t="shared" si="41"/>
        <v>0</v>
      </c>
      <c r="AN43" s="138">
        <f t="shared" si="42"/>
        <v>0</v>
      </c>
      <c r="AO43" s="138">
        <f t="shared" si="43"/>
        <v>0</v>
      </c>
      <c r="AP43" s="138">
        <f t="shared" si="44"/>
        <v>0</v>
      </c>
      <c r="AQ43" s="138">
        <f t="shared" si="45"/>
        <v>0</v>
      </c>
      <c r="AR43" s="138">
        <f t="shared" si="46"/>
        <v>0</v>
      </c>
      <c r="AS43" s="138">
        <f t="shared" si="47"/>
        <v>0</v>
      </c>
      <c r="AT43" s="138">
        <v>0</v>
      </c>
      <c r="AU43" s="217">
        <v>0</v>
      </c>
      <c r="AV43" s="138">
        <v>0</v>
      </c>
      <c r="AW43" s="138">
        <v>0</v>
      </c>
      <c r="AX43" s="138">
        <v>0</v>
      </c>
      <c r="AY43" s="138">
        <v>0</v>
      </c>
      <c r="AZ43" s="138">
        <v>0</v>
      </c>
      <c r="BA43" s="138">
        <v>0</v>
      </c>
      <c r="BB43" s="295">
        <v>0</v>
      </c>
      <c r="BC43" s="295">
        <v>0</v>
      </c>
      <c r="BD43" s="295">
        <v>0</v>
      </c>
      <c r="BE43" s="295">
        <v>0</v>
      </c>
      <c r="BF43" s="295">
        <v>0</v>
      </c>
      <c r="BG43" s="295">
        <v>0</v>
      </c>
      <c r="BH43" s="285">
        <v>0</v>
      </c>
      <c r="BI43" s="285">
        <v>0</v>
      </c>
      <c r="BJ43" s="285">
        <v>0</v>
      </c>
      <c r="BK43" s="285">
        <v>0</v>
      </c>
      <c r="BL43" s="285">
        <v>0</v>
      </c>
      <c r="BM43" s="285">
        <v>0</v>
      </c>
      <c r="BN43" s="285">
        <v>0</v>
      </c>
      <c r="BO43" s="295">
        <v>0</v>
      </c>
      <c r="BP43" s="295">
        <v>0</v>
      </c>
      <c r="BQ43" s="138">
        <v>0</v>
      </c>
      <c r="BR43" s="138">
        <v>0</v>
      </c>
      <c r="BS43" s="138">
        <v>0</v>
      </c>
      <c r="BT43" s="138">
        <v>0</v>
      </c>
      <c r="BU43" s="138">
        <v>0</v>
      </c>
      <c r="BV43" s="138">
        <f t="shared" si="48"/>
        <v>-0.3911453616</v>
      </c>
      <c r="BW43" s="210">
        <f t="shared" si="30"/>
        <v>-1</v>
      </c>
      <c r="BX43" s="138">
        <f t="shared" si="49"/>
        <v>0</v>
      </c>
      <c r="BY43" s="138"/>
      <c r="BZ43" s="211" t="s">
        <v>59</v>
      </c>
    </row>
    <row r="44" spans="1:78" s="165" customFormat="1" ht="63">
      <c r="A44" s="45" t="s">
        <v>203</v>
      </c>
      <c r="B44" s="233" t="s">
        <v>78</v>
      </c>
      <c r="C44" s="269"/>
      <c r="D44" s="138">
        <f t="shared" si="34"/>
        <v>0</v>
      </c>
      <c r="E44" s="138">
        <f t="shared" si="35"/>
        <v>0.239476752</v>
      </c>
      <c r="F44" s="138">
        <f t="shared" si="36"/>
        <v>0</v>
      </c>
      <c r="G44" s="138">
        <f t="shared" si="37"/>
        <v>0</v>
      </c>
      <c r="H44" s="138">
        <f t="shared" si="38"/>
        <v>0</v>
      </c>
      <c r="I44" s="138">
        <f t="shared" si="39"/>
        <v>0</v>
      </c>
      <c r="J44" s="138">
        <f t="shared" si="40"/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  <c r="U44" s="138">
        <v>0</v>
      </c>
      <c r="V44" s="138">
        <v>0</v>
      </c>
      <c r="W44" s="138">
        <v>0</v>
      </c>
      <c r="X44" s="138">
        <v>0</v>
      </c>
      <c r="Y44" s="138">
        <v>0</v>
      </c>
      <c r="Z44" s="138">
        <f>'12 освоение'!V41</f>
        <v>0.239476752</v>
      </c>
      <c r="AA44" s="138">
        <v>0</v>
      </c>
      <c r="AB44" s="138">
        <v>0</v>
      </c>
      <c r="AC44" s="138">
        <v>0</v>
      </c>
      <c r="AD44" s="138">
        <v>0</v>
      </c>
      <c r="AE44" s="138">
        <v>0</v>
      </c>
      <c r="AF44" s="138">
        <v>0</v>
      </c>
      <c r="AG44" s="138">
        <v>0</v>
      </c>
      <c r="AH44" s="138">
        <v>0</v>
      </c>
      <c r="AI44" s="138">
        <v>0</v>
      </c>
      <c r="AJ44" s="138">
        <v>0</v>
      </c>
      <c r="AK44" s="138">
        <v>0</v>
      </c>
      <c r="AL44" s="138">
        <v>0</v>
      </c>
      <c r="AM44" s="138">
        <f t="shared" si="41"/>
        <v>0</v>
      </c>
      <c r="AN44" s="138">
        <f t="shared" si="42"/>
        <v>0</v>
      </c>
      <c r="AO44" s="138">
        <f t="shared" si="43"/>
        <v>0</v>
      </c>
      <c r="AP44" s="138">
        <f t="shared" si="44"/>
        <v>0</v>
      </c>
      <c r="AQ44" s="138">
        <f t="shared" si="45"/>
        <v>0</v>
      </c>
      <c r="AR44" s="138">
        <f t="shared" si="46"/>
        <v>0</v>
      </c>
      <c r="AS44" s="138">
        <f t="shared" si="47"/>
        <v>0</v>
      </c>
      <c r="AT44" s="138">
        <v>0</v>
      </c>
      <c r="AU44" s="217">
        <v>0</v>
      </c>
      <c r="AV44" s="138">
        <v>0</v>
      </c>
      <c r="AW44" s="138">
        <v>0</v>
      </c>
      <c r="AX44" s="138">
        <v>0</v>
      </c>
      <c r="AY44" s="138">
        <v>0</v>
      </c>
      <c r="AZ44" s="138">
        <v>0</v>
      </c>
      <c r="BA44" s="138">
        <v>0</v>
      </c>
      <c r="BB44" s="295">
        <v>0</v>
      </c>
      <c r="BC44" s="295">
        <v>0</v>
      </c>
      <c r="BD44" s="295">
        <v>0</v>
      </c>
      <c r="BE44" s="295">
        <v>0</v>
      </c>
      <c r="BF44" s="295">
        <v>0</v>
      </c>
      <c r="BG44" s="295">
        <v>0</v>
      </c>
      <c r="BH44" s="285">
        <v>0</v>
      </c>
      <c r="BI44" s="285">
        <v>0</v>
      </c>
      <c r="BJ44" s="285">
        <v>0</v>
      </c>
      <c r="BK44" s="285">
        <v>0</v>
      </c>
      <c r="BL44" s="285">
        <v>0</v>
      </c>
      <c r="BM44" s="285">
        <v>0</v>
      </c>
      <c r="BN44" s="285">
        <v>0</v>
      </c>
      <c r="BO44" s="295">
        <v>0</v>
      </c>
      <c r="BP44" s="295">
        <v>0</v>
      </c>
      <c r="BQ44" s="138">
        <v>0</v>
      </c>
      <c r="BR44" s="138">
        <v>0</v>
      </c>
      <c r="BS44" s="138">
        <v>0</v>
      </c>
      <c r="BT44" s="138">
        <v>0</v>
      </c>
      <c r="BU44" s="138">
        <v>0</v>
      </c>
      <c r="BV44" s="138">
        <f t="shared" si="48"/>
        <v>-0.239476752</v>
      </c>
      <c r="BW44" s="210">
        <f t="shared" si="30"/>
        <v>-1</v>
      </c>
      <c r="BX44" s="138">
        <f t="shared" si="49"/>
        <v>0</v>
      </c>
      <c r="BY44" s="138"/>
      <c r="BZ44" s="211" t="s">
        <v>59</v>
      </c>
    </row>
    <row r="45" spans="1:78" s="165" customFormat="1" ht="63">
      <c r="A45" s="45" t="s">
        <v>204</v>
      </c>
      <c r="B45" s="233" t="s">
        <v>80</v>
      </c>
      <c r="C45" s="269"/>
      <c r="D45" s="138">
        <f t="shared" si="34"/>
        <v>0</v>
      </c>
      <c r="E45" s="138">
        <f t="shared" si="35"/>
        <v>0.1436860512</v>
      </c>
      <c r="F45" s="138">
        <f t="shared" si="36"/>
        <v>0</v>
      </c>
      <c r="G45" s="138">
        <f t="shared" si="37"/>
        <v>0</v>
      </c>
      <c r="H45" s="138">
        <f t="shared" si="38"/>
        <v>0</v>
      </c>
      <c r="I45" s="138">
        <f t="shared" si="39"/>
        <v>0</v>
      </c>
      <c r="J45" s="138">
        <f t="shared" si="40"/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f>'12 освоение'!V42</f>
        <v>0.1436860512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38">
        <v>0</v>
      </c>
      <c r="AK45" s="138">
        <v>0</v>
      </c>
      <c r="AL45" s="138">
        <v>0</v>
      </c>
      <c r="AM45" s="138">
        <f t="shared" si="41"/>
        <v>0</v>
      </c>
      <c r="AN45" s="138">
        <f t="shared" si="42"/>
        <v>0</v>
      </c>
      <c r="AO45" s="138">
        <f t="shared" si="43"/>
        <v>0</v>
      </c>
      <c r="AP45" s="138">
        <f t="shared" si="44"/>
        <v>0</v>
      </c>
      <c r="AQ45" s="138">
        <f t="shared" si="45"/>
        <v>0</v>
      </c>
      <c r="AR45" s="138">
        <f t="shared" si="46"/>
        <v>0</v>
      </c>
      <c r="AS45" s="138">
        <f t="shared" si="47"/>
        <v>0</v>
      </c>
      <c r="AT45" s="138">
        <v>0</v>
      </c>
      <c r="AU45" s="217">
        <v>0</v>
      </c>
      <c r="AV45" s="138">
        <v>0</v>
      </c>
      <c r="AW45" s="138">
        <v>0</v>
      </c>
      <c r="AX45" s="138">
        <v>0</v>
      </c>
      <c r="AY45" s="138">
        <v>0</v>
      </c>
      <c r="AZ45" s="138">
        <v>0</v>
      </c>
      <c r="BA45" s="138">
        <v>0</v>
      </c>
      <c r="BB45" s="295">
        <v>0</v>
      </c>
      <c r="BC45" s="295">
        <v>0</v>
      </c>
      <c r="BD45" s="295">
        <v>0</v>
      </c>
      <c r="BE45" s="295">
        <v>0</v>
      </c>
      <c r="BF45" s="295">
        <v>0</v>
      </c>
      <c r="BG45" s="295">
        <v>0</v>
      </c>
      <c r="BH45" s="285">
        <v>0</v>
      </c>
      <c r="BI45" s="285">
        <v>0</v>
      </c>
      <c r="BJ45" s="285">
        <v>0</v>
      </c>
      <c r="BK45" s="285">
        <v>0</v>
      </c>
      <c r="BL45" s="285">
        <v>0</v>
      </c>
      <c r="BM45" s="285">
        <v>0</v>
      </c>
      <c r="BN45" s="285">
        <v>0</v>
      </c>
      <c r="BO45" s="295">
        <v>0</v>
      </c>
      <c r="BP45" s="295">
        <v>0</v>
      </c>
      <c r="BQ45" s="138">
        <v>0</v>
      </c>
      <c r="BR45" s="138">
        <v>0</v>
      </c>
      <c r="BS45" s="138">
        <v>0</v>
      </c>
      <c r="BT45" s="138">
        <v>0</v>
      </c>
      <c r="BU45" s="138">
        <v>0</v>
      </c>
      <c r="BV45" s="138">
        <f t="shared" si="48"/>
        <v>-0.1436860512</v>
      </c>
      <c r="BW45" s="210">
        <f t="shared" si="30"/>
        <v>-1</v>
      </c>
      <c r="BX45" s="138">
        <f t="shared" si="49"/>
        <v>0</v>
      </c>
      <c r="BY45" s="138"/>
      <c r="BZ45" s="211" t="s">
        <v>59</v>
      </c>
    </row>
    <row r="46" spans="1:78" s="165" customFormat="1" ht="63">
      <c r="A46" s="45" t="s">
        <v>205</v>
      </c>
      <c r="B46" s="233" t="s">
        <v>82</v>
      </c>
      <c r="C46" s="269"/>
      <c r="D46" s="138">
        <f t="shared" si="34"/>
        <v>0</v>
      </c>
      <c r="E46" s="138">
        <f t="shared" si="35"/>
        <v>0.558779088</v>
      </c>
      <c r="F46" s="138">
        <f t="shared" si="36"/>
        <v>0</v>
      </c>
      <c r="G46" s="138">
        <f t="shared" si="37"/>
        <v>0</v>
      </c>
      <c r="H46" s="138">
        <f t="shared" si="38"/>
        <v>0</v>
      </c>
      <c r="I46" s="138">
        <f t="shared" si="39"/>
        <v>0</v>
      </c>
      <c r="J46" s="138">
        <f t="shared" si="40"/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f>'12 освоение'!V43</f>
        <v>0.558779088</v>
      </c>
      <c r="AA46" s="138">
        <v>0</v>
      </c>
      <c r="AB46" s="138">
        <v>0</v>
      </c>
      <c r="AC46" s="138">
        <v>0</v>
      </c>
      <c r="AD46" s="138">
        <v>0</v>
      </c>
      <c r="AE46" s="138">
        <v>0</v>
      </c>
      <c r="AF46" s="138">
        <v>0</v>
      </c>
      <c r="AG46" s="138">
        <v>0</v>
      </c>
      <c r="AH46" s="138">
        <v>0</v>
      </c>
      <c r="AI46" s="138">
        <v>0</v>
      </c>
      <c r="AJ46" s="138">
        <v>0</v>
      </c>
      <c r="AK46" s="138">
        <v>0</v>
      </c>
      <c r="AL46" s="138">
        <v>0</v>
      </c>
      <c r="AM46" s="138">
        <f t="shared" si="41"/>
        <v>0</v>
      </c>
      <c r="AN46" s="138">
        <f t="shared" si="42"/>
        <v>0</v>
      </c>
      <c r="AO46" s="138">
        <f t="shared" si="43"/>
        <v>0</v>
      </c>
      <c r="AP46" s="138">
        <f t="shared" si="44"/>
        <v>0</v>
      </c>
      <c r="AQ46" s="138">
        <f t="shared" si="45"/>
        <v>0</v>
      </c>
      <c r="AR46" s="138">
        <f t="shared" si="46"/>
        <v>0</v>
      </c>
      <c r="AS46" s="138">
        <f t="shared" si="47"/>
        <v>0</v>
      </c>
      <c r="AT46" s="138">
        <v>0</v>
      </c>
      <c r="AU46" s="217">
        <v>0</v>
      </c>
      <c r="AV46" s="138">
        <v>0</v>
      </c>
      <c r="AW46" s="138">
        <v>0</v>
      </c>
      <c r="AX46" s="138">
        <v>0</v>
      </c>
      <c r="AY46" s="138">
        <v>0</v>
      </c>
      <c r="AZ46" s="138">
        <v>0</v>
      </c>
      <c r="BA46" s="138">
        <v>0</v>
      </c>
      <c r="BB46" s="295">
        <v>0</v>
      </c>
      <c r="BC46" s="295">
        <v>0</v>
      </c>
      <c r="BD46" s="295">
        <v>0</v>
      </c>
      <c r="BE46" s="295">
        <v>0</v>
      </c>
      <c r="BF46" s="295">
        <v>0</v>
      </c>
      <c r="BG46" s="295">
        <v>0</v>
      </c>
      <c r="BH46" s="285">
        <v>0</v>
      </c>
      <c r="BI46" s="285">
        <v>0</v>
      </c>
      <c r="BJ46" s="285">
        <v>0</v>
      </c>
      <c r="BK46" s="285">
        <v>0</v>
      </c>
      <c r="BL46" s="285">
        <v>0</v>
      </c>
      <c r="BM46" s="285">
        <v>0</v>
      </c>
      <c r="BN46" s="285">
        <v>0</v>
      </c>
      <c r="BO46" s="295">
        <v>0</v>
      </c>
      <c r="BP46" s="295">
        <v>0</v>
      </c>
      <c r="BQ46" s="138">
        <v>0</v>
      </c>
      <c r="BR46" s="138">
        <v>0</v>
      </c>
      <c r="BS46" s="138">
        <v>0</v>
      </c>
      <c r="BT46" s="138">
        <v>0</v>
      </c>
      <c r="BU46" s="138">
        <v>0</v>
      </c>
      <c r="BV46" s="138">
        <f t="shared" si="48"/>
        <v>-0.558779088</v>
      </c>
      <c r="BW46" s="210">
        <f t="shared" si="30"/>
        <v>-1</v>
      </c>
      <c r="BX46" s="138">
        <f t="shared" si="49"/>
        <v>0</v>
      </c>
      <c r="BY46" s="138"/>
      <c r="BZ46" s="211" t="s">
        <v>59</v>
      </c>
    </row>
    <row r="47" spans="1:78" s="165" customFormat="1" ht="63">
      <c r="A47" s="45"/>
      <c r="B47" s="228" t="s">
        <v>84</v>
      </c>
      <c r="C47" s="269"/>
      <c r="D47" s="138">
        <f t="shared" si="34"/>
        <v>0</v>
      </c>
      <c r="E47" s="138">
        <f t="shared" si="35"/>
        <v>0</v>
      </c>
      <c r="F47" s="138">
        <f t="shared" si="36"/>
        <v>0</v>
      </c>
      <c r="G47" s="138">
        <f t="shared" si="37"/>
        <v>0</v>
      </c>
      <c r="H47" s="138">
        <f t="shared" si="38"/>
        <v>0</v>
      </c>
      <c r="I47" s="138">
        <f t="shared" si="39"/>
        <v>0</v>
      </c>
      <c r="J47" s="138">
        <f t="shared" si="40"/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I47" s="138">
        <v>0</v>
      </c>
      <c r="AJ47" s="138">
        <v>0</v>
      </c>
      <c r="AK47" s="138">
        <v>0</v>
      </c>
      <c r="AL47" s="138">
        <v>0</v>
      </c>
      <c r="AM47" s="138">
        <f t="shared" si="41"/>
        <v>0</v>
      </c>
      <c r="AN47" s="138">
        <f t="shared" si="42"/>
        <v>0.12569472</v>
      </c>
      <c r="AO47" s="138">
        <f t="shared" si="43"/>
        <v>0</v>
      </c>
      <c r="AP47" s="138">
        <f t="shared" si="44"/>
        <v>0</v>
      </c>
      <c r="AQ47" s="138">
        <f t="shared" si="45"/>
        <v>1.729</v>
      </c>
      <c r="AR47" s="138">
        <f t="shared" si="46"/>
        <v>0</v>
      </c>
      <c r="AS47" s="138">
        <f t="shared" si="47"/>
        <v>0</v>
      </c>
      <c r="AT47" s="138">
        <v>0</v>
      </c>
      <c r="AU47" s="217">
        <v>0</v>
      </c>
      <c r="AV47" s="138">
        <v>0</v>
      </c>
      <c r="AW47" s="138">
        <v>0</v>
      </c>
      <c r="AX47" s="138">
        <v>0</v>
      </c>
      <c r="AY47" s="138">
        <v>0</v>
      </c>
      <c r="AZ47" s="138">
        <v>0</v>
      </c>
      <c r="BA47" s="138">
        <v>0</v>
      </c>
      <c r="BB47" s="295">
        <v>0</v>
      </c>
      <c r="BC47" s="295">
        <v>0</v>
      </c>
      <c r="BD47" s="295">
        <v>0</v>
      </c>
      <c r="BE47" s="295">
        <v>0</v>
      </c>
      <c r="BF47" s="295">
        <v>0</v>
      </c>
      <c r="BG47" s="295">
        <v>0</v>
      </c>
      <c r="BH47" s="285">
        <v>0</v>
      </c>
      <c r="BI47" s="285">
        <v>0</v>
      </c>
      <c r="BJ47" s="285">
        <v>0</v>
      </c>
      <c r="BK47" s="285">
        <v>0</v>
      </c>
      <c r="BL47" s="285">
        <v>0</v>
      </c>
      <c r="BM47" s="285">
        <v>0</v>
      </c>
      <c r="BN47" s="285">
        <v>0</v>
      </c>
      <c r="BO47" s="295">
        <v>0</v>
      </c>
      <c r="BP47" s="285">
        <f>125.69472/1000</f>
        <v>0.12569472</v>
      </c>
      <c r="BQ47" s="138">
        <v>0</v>
      </c>
      <c r="BR47" s="138">
        <v>0</v>
      </c>
      <c r="BS47" s="138">
        <v>1.729</v>
      </c>
      <c r="BT47" s="138">
        <v>0</v>
      </c>
      <c r="BU47" s="138">
        <v>0</v>
      </c>
      <c r="BV47" s="138">
        <f t="shared" si="48"/>
        <v>0.12569472</v>
      </c>
      <c r="BW47" s="210" t="e">
        <f t="shared" si="30"/>
        <v>#DIV/0!</v>
      </c>
      <c r="BX47" s="138">
        <f t="shared" si="49"/>
        <v>0</v>
      </c>
      <c r="BY47" s="138"/>
      <c r="BZ47" s="211" t="s">
        <v>95</v>
      </c>
    </row>
    <row r="48" spans="1:78" s="165" customFormat="1" ht="18.75">
      <c r="A48" s="45" t="s">
        <v>206</v>
      </c>
      <c r="B48" s="233" t="s">
        <v>86</v>
      </c>
      <c r="C48" s="269"/>
      <c r="D48" s="138">
        <f t="shared" si="34"/>
        <v>0</v>
      </c>
      <c r="E48" s="138">
        <f t="shared" si="35"/>
        <v>0.8</v>
      </c>
      <c r="F48" s="138">
        <f t="shared" si="36"/>
        <v>0</v>
      </c>
      <c r="G48" s="138">
        <f t="shared" si="37"/>
        <v>0</v>
      </c>
      <c r="H48" s="138">
        <f t="shared" si="38"/>
        <v>0</v>
      </c>
      <c r="I48" s="138">
        <f t="shared" si="39"/>
        <v>0</v>
      </c>
      <c r="J48" s="138">
        <f t="shared" si="40"/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38">
        <v>0</v>
      </c>
      <c r="AF48" s="138">
        <v>0</v>
      </c>
      <c r="AG48" s="138">
        <f>0.944/1.18</f>
        <v>0.8</v>
      </c>
      <c r="AH48" s="138">
        <v>0</v>
      </c>
      <c r="AI48" s="138">
        <v>0</v>
      </c>
      <c r="AJ48" s="138">
        <v>0</v>
      </c>
      <c r="AK48" s="138">
        <v>0</v>
      </c>
      <c r="AL48" s="138">
        <v>0</v>
      </c>
      <c r="AM48" s="138">
        <f t="shared" si="41"/>
        <v>0</v>
      </c>
      <c r="AN48" s="138">
        <f t="shared" si="42"/>
        <v>0</v>
      </c>
      <c r="AO48" s="138">
        <f t="shared" si="43"/>
        <v>0</v>
      </c>
      <c r="AP48" s="138">
        <f t="shared" si="44"/>
        <v>0</v>
      </c>
      <c r="AQ48" s="138">
        <f t="shared" si="45"/>
        <v>0</v>
      </c>
      <c r="AR48" s="138">
        <f t="shared" si="46"/>
        <v>0</v>
      </c>
      <c r="AS48" s="138">
        <f t="shared" si="47"/>
        <v>0</v>
      </c>
      <c r="AT48" s="138">
        <v>0</v>
      </c>
      <c r="AU48" s="217">
        <v>0</v>
      </c>
      <c r="AV48" s="138">
        <v>0</v>
      </c>
      <c r="AW48" s="138">
        <v>0</v>
      </c>
      <c r="AX48" s="138">
        <v>0</v>
      </c>
      <c r="AY48" s="138">
        <v>0</v>
      </c>
      <c r="AZ48" s="138">
        <v>0</v>
      </c>
      <c r="BA48" s="138">
        <v>0</v>
      </c>
      <c r="BB48" s="295">
        <v>0</v>
      </c>
      <c r="BC48" s="295">
        <v>0</v>
      </c>
      <c r="BD48" s="295">
        <v>0</v>
      </c>
      <c r="BE48" s="295">
        <v>0</v>
      </c>
      <c r="BF48" s="295">
        <v>0</v>
      </c>
      <c r="BG48" s="295">
        <v>0</v>
      </c>
      <c r="BH48" s="285">
        <v>0</v>
      </c>
      <c r="BI48" s="285">
        <v>0</v>
      </c>
      <c r="BJ48" s="285">
        <v>0</v>
      </c>
      <c r="BK48" s="285">
        <v>0</v>
      </c>
      <c r="BL48" s="285">
        <v>0</v>
      </c>
      <c r="BM48" s="285">
        <v>0</v>
      </c>
      <c r="BN48" s="285">
        <v>0</v>
      </c>
      <c r="BO48" s="295">
        <v>0</v>
      </c>
      <c r="BP48" s="295">
        <v>0</v>
      </c>
      <c r="BQ48" s="138">
        <v>0</v>
      </c>
      <c r="BR48" s="138">
        <v>0</v>
      </c>
      <c r="BS48" s="138">
        <v>0</v>
      </c>
      <c r="BT48" s="138">
        <v>0</v>
      </c>
      <c r="BU48" s="138">
        <v>0</v>
      </c>
      <c r="BV48" s="138">
        <f t="shared" si="48"/>
        <v>-0.8</v>
      </c>
      <c r="BW48" s="210">
        <f t="shared" si="30"/>
        <v>-1</v>
      </c>
      <c r="BX48" s="138">
        <f t="shared" si="49"/>
        <v>0</v>
      </c>
      <c r="BY48" s="138"/>
      <c r="BZ48" s="211" t="s">
        <v>239</v>
      </c>
    </row>
    <row r="49" spans="1:78" s="165" customFormat="1" ht="18.75">
      <c r="A49" s="45" t="s">
        <v>207</v>
      </c>
      <c r="B49" s="233" t="s">
        <v>88</v>
      </c>
      <c r="C49" s="269"/>
      <c r="D49" s="138">
        <f t="shared" si="34"/>
        <v>0</v>
      </c>
      <c r="E49" s="138">
        <f t="shared" si="35"/>
        <v>3.6400000000000006</v>
      </c>
      <c r="F49" s="138">
        <f t="shared" si="36"/>
        <v>0</v>
      </c>
      <c r="G49" s="138">
        <f t="shared" si="37"/>
        <v>0</v>
      </c>
      <c r="H49" s="138">
        <f t="shared" si="38"/>
        <v>0</v>
      </c>
      <c r="I49" s="138">
        <f t="shared" si="39"/>
        <v>0</v>
      </c>
      <c r="J49" s="138">
        <f t="shared" si="40"/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f>4.2952/1.18</f>
        <v>3.6400000000000006</v>
      </c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138">
        <f t="shared" si="41"/>
        <v>0</v>
      </c>
      <c r="AN49" s="138">
        <f t="shared" si="42"/>
        <v>0</v>
      </c>
      <c r="AO49" s="138">
        <f t="shared" si="43"/>
        <v>0</v>
      </c>
      <c r="AP49" s="138">
        <f t="shared" si="44"/>
        <v>0</v>
      </c>
      <c r="AQ49" s="138">
        <f t="shared" si="45"/>
        <v>0</v>
      </c>
      <c r="AR49" s="138">
        <f t="shared" si="46"/>
        <v>0</v>
      </c>
      <c r="AS49" s="138">
        <f t="shared" si="47"/>
        <v>0</v>
      </c>
      <c r="AT49" s="138">
        <v>0</v>
      </c>
      <c r="AU49" s="217">
        <v>0</v>
      </c>
      <c r="AV49" s="138">
        <v>0</v>
      </c>
      <c r="AW49" s="138">
        <v>0</v>
      </c>
      <c r="AX49" s="138">
        <v>0</v>
      </c>
      <c r="AY49" s="138">
        <v>0</v>
      </c>
      <c r="AZ49" s="138">
        <v>0</v>
      </c>
      <c r="BA49" s="138">
        <v>0</v>
      </c>
      <c r="BB49" s="295">
        <v>0</v>
      </c>
      <c r="BC49" s="295">
        <v>0</v>
      </c>
      <c r="BD49" s="295">
        <v>0</v>
      </c>
      <c r="BE49" s="295">
        <v>0</v>
      </c>
      <c r="BF49" s="295">
        <v>0</v>
      </c>
      <c r="BG49" s="295">
        <v>0</v>
      </c>
      <c r="BH49" s="285">
        <v>0</v>
      </c>
      <c r="BI49" s="285">
        <v>0</v>
      </c>
      <c r="BJ49" s="285">
        <v>0</v>
      </c>
      <c r="BK49" s="285">
        <v>0</v>
      </c>
      <c r="BL49" s="285">
        <v>0</v>
      </c>
      <c r="BM49" s="285">
        <v>0</v>
      </c>
      <c r="BN49" s="285">
        <v>0</v>
      </c>
      <c r="BO49" s="295">
        <v>0</v>
      </c>
      <c r="BP49" s="295">
        <v>0</v>
      </c>
      <c r="BQ49" s="138">
        <v>0</v>
      </c>
      <c r="BR49" s="138">
        <v>0</v>
      </c>
      <c r="BS49" s="138">
        <v>0</v>
      </c>
      <c r="BT49" s="138">
        <v>0</v>
      </c>
      <c r="BU49" s="138">
        <v>0</v>
      </c>
      <c r="BV49" s="138">
        <f t="shared" si="48"/>
        <v>-3.6400000000000006</v>
      </c>
      <c r="BW49" s="210">
        <f t="shared" si="30"/>
        <v>-1</v>
      </c>
      <c r="BX49" s="138">
        <f t="shared" si="49"/>
        <v>0</v>
      </c>
      <c r="BY49" s="138"/>
      <c r="BZ49" s="211" t="s">
        <v>239</v>
      </c>
    </row>
    <row r="50" spans="1:78" s="165" customFormat="1" ht="47.25">
      <c r="A50" s="49" t="s">
        <v>165</v>
      </c>
      <c r="B50" s="230" t="s">
        <v>90</v>
      </c>
      <c r="C50" s="269"/>
      <c r="D50" s="214">
        <f aca="true" t="shared" si="50" ref="D50:AM50">SUM(D51:D53)</f>
        <v>0</v>
      </c>
      <c r="E50" s="214">
        <f t="shared" si="50"/>
        <v>0</v>
      </c>
      <c r="F50" s="214">
        <f t="shared" si="50"/>
        <v>0</v>
      </c>
      <c r="G50" s="214">
        <f t="shared" si="50"/>
        <v>0</v>
      </c>
      <c r="H50" s="214">
        <f t="shared" si="50"/>
        <v>0</v>
      </c>
      <c r="I50" s="214">
        <f t="shared" si="50"/>
        <v>0</v>
      </c>
      <c r="J50" s="214">
        <f t="shared" si="50"/>
        <v>0</v>
      </c>
      <c r="K50" s="214">
        <f t="shared" si="50"/>
        <v>0</v>
      </c>
      <c r="L50" s="214">
        <f t="shared" si="50"/>
        <v>0</v>
      </c>
      <c r="M50" s="214">
        <f t="shared" si="50"/>
        <v>0</v>
      </c>
      <c r="N50" s="214">
        <f t="shared" si="50"/>
        <v>0</v>
      </c>
      <c r="O50" s="214">
        <f t="shared" si="50"/>
        <v>0</v>
      </c>
      <c r="P50" s="214">
        <f t="shared" si="50"/>
        <v>0</v>
      </c>
      <c r="Q50" s="214">
        <f t="shared" si="50"/>
        <v>0</v>
      </c>
      <c r="R50" s="214">
        <f t="shared" si="50"/>
        <v>0</v>
      </c>
      <c r="S50" s="214">
        <f t="shared" si="50"/>
        <v>0</v>
      </c>
      <c r="T50" s="214">
        <f t="shared" si="50"/>
        <v>0</v>
      </c>
      <c r="U50" s="214">
        <f t="shared" si="50"/>
        <v>0</v>
      </c>
      <c r="V50" s="214">
        <f t="shared" si="50"/>
        <v>0</v>
      </c>
      <c r="W50" s="214">
        <f t="shared" si="50"/>
        <v>0</v>
      </c>
      <c r="X50" s="214">
        <f t="shared" si="50"/>
        <v>0</v>
      </c>
      <c r="Y50" s="214">
        <f t="shared" si="50"/>
        <v>0</v>
      </c>
      <c r="Z50" s="214">
        <f t="shared" si="50"/>
        <v>0</v>
      </c>
      <c r="AA50" s="214">
        <f t="shared" si="50"/>
        <v>0</v>
      </c>
      <c r="AB50" s="214">
        <f t="shared" si="50"/>
        <v>0</v>
      </c>
      <c r="AC50" s="214">
        <f t="shared" si="50"/>
        <v>0</v>
      </c>
      <c r="AD50" s="214">
        <f t="shared" si="50"/>
        <v>0</v>
      </c>
      <c r="AE50" s="214">
        <f t="shared" si="50"/>
        <v>0</v>
      </c>
      <c r="AF50" s="214">
        <f t="shared" si="50"/>
        <v>0</v>
      </c>
      <c r="AG50" s="214">
        <f t="shared" si="50"/>
        <v>0</v>
      </c>
      <c r="AH50" s="214">
        <f t="shared" si="50"/>
        <v>0</v>
      </c>
      <c r="AI50" s="214">
        <f t="shared" si="50"/>
        <v>0</v>
      </c>
      <c r="AJ50" s="214">
        <f t="shared" si="50"/>
        <v>0</v>
      </c>
      <c r="AK50" s="214">
        <f t="shared" si="50"/>
        <v>0</v>
      </c>
      <c r="AL50" s="214">
        <f t="shared" si="50"/>
        <v>0</v>
      </c>
      <c r="AM50" s="214">
        <f t="shared" si="50"/>
        <v>0</v>
      </c>
      <c r="AN50" s="214">
        <f aca="true" t="shared" si="51" ref="AN50:AS50">SUM(AN51:AN55)</f>
        <v>1.6268458</v>
      </c>
      <c r="AO50" s="214">
        <f t="shared" si="51"/>
        <v>1.03</v>
      </c>
      <c r="AP50" s="214">
        <f t="shared" si="51"/>
        <v>0</v>
      </c>
      <c r="AQ50" s="214">
        <f t="shared" si="51"/>
        <v>0</v>
      </c>
      <c r="AR50" s="214">
        <f t="shared" si="51"/>
        <v>0</v>
      </c>
      <c r="AS50" s="214">
        <f t="shared" si="51"/>
        <v>0</v>
      </c>
      <c r="AT50" s="214">
        <f aca="true" t="shared" si="52" ref="AT50:BO50">SUM(AT51:AT53)</f>
        <v>0</v>
      </c>
      <c r="AU50" s="214">
        <f t="shared" si="52"/>
        <v>0.38084711000000004</v>
      </c>
      <c r="AV50" s="214">
        <f t="shared" si="52"/>
        <v>0.63</v>
      </c>
      <c r="AW50" s="214">
        <f t="shared" si="52"/>
        <v>0</v>
      </c>
      <c r="AX50" s="214">
        <f t="shared" si="52"/>
        <v>0</v>
      </c>
      <c r="AY50" s="214">
        <f t="shared" si="52"/>
        <v>0</v>
      </c>
      <c r="AZ50" s="214">
        <f t="shared" si="52"/>
        <v>0</v>
      </c>
      <c r="BA50" s="214">
        <f t="shared" si="52"/>
        <v>0</v>
      </c>
      <c r="BB50" s="284">
        <f t="shared" si="52"/>
        <v>0.6727900699999999</v>
      </c>
      <c r="BC50" s="284">
        <f t="shared" si="52"/>
        <v>0</v>
      </c>
      <c r="BD50" s="284">
        <f t="shared" si="52"/>
        <v>0</v>
      </c>
      <c r="BE50" s="284">
        <f t="shared" si="52"/>
        <v>0</v>
      </c>
      <c r="BF50" s="284">
        <f t="shared" si="52"/>
        <v>0</v>
      </c>
      <c r="BG50" s="284">
        <f t="shared" si="52"/>
        <v>0</v>
      </c>
      <c r="BH50" s="286">
        <f t="shared" si="52"/>
        <v>0</v>
      </c>
      <c r="BI50" s="286">
        <f t="shared" si="52"/>
        <v>0.28307948</v>
      </c>
      <c r="BJ50" s="286">
        <f t="shared" si="52"/>
        <v>0.4</v>
      </c>
      <c r="BK50" s="286">
        <f t="shared" si="52"/>
        <v>0</v>
      </c>
      <c r="BL50" s="286">
        <f t="shared" si="52"/>
        <v>0</v>
      </c>
      <c r="BM50" s="286">
        <f t="shared" si="52"/>
        <v>0</v>
      </c>
      <c r="BN50" s="286">
        <f t="shared" si="52"/>
        <v>0</v>
      </c>
      <c r="BO50" s="284">
        <f t="shared" si="52"/>
        <v>0</v>
      </c>
      <c r="BP50" s="284">
        <f>SUM(BP51:BP55)</f>
        <v>0.29012914</v>
      </c>
      <c r="BQ50" s="214">
        <f>SUM(BQ51:BQ53)</f>
        <v>0</v>
      </c>
      <c r="BR50" s="214">
        <f>SUM(BR51:BR53)</f>
        <v>0</v>
      </c>
      <c r="BS50" s="214">
        <f>SUM(BS51:BS53)</f>
        <v>0</v>
      </c>
      <c r="BT50" s="214">
        <f>SUM(BT51:BT53)</f>
        <v>0</v>
      </c>
      <c r="BU50" s="214">
        <f>SUM(BU51:BU55)</f>
        <v>0</v>
      </c>
      <c r="BV50" s="214">
        <f>SUM(BV51:BV55)</f>
        <v>1.6268458</v>
      </c>
      <c r="BW50" s="210"/>
      <c r="BX50" s="214">
        <f>SUM(BX51:BX79)</f>
        <v>0</v>
      </c>
      <c r="BY50" s="214"/>
      <c r="BZ50" s="29"/>
    </row>
    <row r="51" spans="1:78" s="165" customFormat="1" ht="63">
      <c r="A51" s="45" t="s">
        <v>166</v>
      </c>
      <c r="B51" s="228" t="s">
        <v>91</v>
      </c>
      <c r="C51" s="269"/>
      <c r="D51" s="138">
        <f aca="true" t="shared" si="53" ref="D51:J55">K51+R51++Y51+AF51</f>
        <v>0</v>
      </c>
      <c r="E51" s="138">
        <f t="shared" si="53"/>
        <v>0</v>
      </c>
      <c r="F51" s="138">
        <f t="shared" si="53"/>
        <v>0</v>
      </c>
      <c r="G51" s="138">
        <f t="shared" si="53"/>
        <v>0</v>
      </c>
      <c r="H51" s="138">
        <f t="shared" si="53"/>
        <v>0</v>
      </c>
      <c r="I51" s="138">
        <f t="shared" si="53"/>
        <v>0</v>
      </c>
      <c r="J51" s="138">
        <f t="shared" si="53"/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f aca="true" t="shared" si="54" ref="AM51:AS55">AT51+BA51++BH51+BO51</f>
        <v>0</v>
      </c>
      <c r="AN51" s="138">
        <f t="shared" si="54"/>
        <v>0.34297458000000003</v>
      </c>
      <c r="AO51" s="138">
        <f t="shared" si="54"/>
        <v>0.63</v>
      </c>
      <c r="AP51" s="138">
        <f t="shared" si="54"/>
        <v>0</v>
      </c>
      <c r="AQ51" s="138">
        <f t="shared" si="54"/>
        <v>0</v>
      </c>
      <c r="AR51" s="138">
        <f t="shared" si="54"/>
        <v>0</v>
      </c>
      <c r="AS51" s="138">
        <f t="shared" si="54"/>
        <v>0</v>
      </c>
      <c r="AT51" s="138">
        <v>0</v>
      </c>
      <c r="AU51" s="217">
        <f>342.97458/1000</f>
        <v>0.34297458000000003</v>
      </c>
      <c r="AV51" s="138">
        <v>0.63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295">
        <v>0</v>
      </c>
      <c r="BC51" s="295">
        <v>0</v>
      </c>
      <c r="BD51" s="295">
        <v>0</v>
      </c>
      <c r="BE51" s="295">
        <v>0</v>
      </c>
      <c r="BF51" s="295">
        <v>0</v>
      </c>
      <c r="BG51" s="295">
        <v>0</v>
      </c>
      <c r="BH51" s="285">
        <v>0</v>
      </c>
      <c r="BI51" s="285">
        <v>0</v>
      </c>
      <c r="BJ51" s="285">
        <v>0</v>
      </c>
      <c r="BK51" s="285">
        <v>0</v>
      </c>
      <c r="BL51" s="285">
        <v>0</v>
      </c>
      <c r="BM51" s="285">
        <v>0</v>
      </c>
      <c r="BN51" s="285">
        <v>0</v>
      </c>
      <c r="BO51" s="295">
        <v>0</v>
      </c>
      <c r="BP51" s="295">
        <v>0</v>
      </c>
      <c r="BQ51" s="138">
        <v>0</v>
      </c>
      <c r="BR51" s="138">
        <v>0</v>
      </c>
      <c r="BS51" s="138">
        <v>0</v>
      </c>
      <c r="BT51" s="138">
        <v>0</v>
      </c>
      <c r="BU51" s="138">
        <v>0</v>
      </c>
      <c r="BV51" s="138">
        <f>AN51-E51</f>
        <v>0.34297458000000003</v>
      </c>
      <c r="BW51" s="210"/>
      <c r="BX51" s="138">
        <f>AM51-D51</f>
        <v>0</v>
      </c>
      <c r="BY51" s="138"/>
      <c r="BZ51" s="211" t="s">
        <v>95</v>
      </c>
    </row>
    <row r="52" spans="1:78" s="182" customFormat="1" ht="63">
      <c r="A52" s="45" t="s">
        <v>167</v>
      </c>
      <c r="B52" s="228" t="s">
        <v>92</v>
      </c>
      <c r="C52" s="268"/>
      <c r="D52" s="171">
        <f t="shared" si="53"/>
        <v>0</v>
      </c>
      <c r="E52" s="171">
        <f t="shared" si="53"/>
        <v>0</v>
      </c>
      <c r="F52" s="171">
        <f t="shared" si="53"/>
        <v>0</v>
      </c>
      <c r="G52" s="171">
        <f t="shared" si="53"/>
        <v>0</v>
      </c>
      <c r="H52" s="171">
        <f t="shared" si="53"/>
        <v>0</v>
      </c>
      <c r="I52" s="171">
        <f t="shared" si="53"/>
        <v>0</v>
      </c>
      <c r="J52" s="171">
        <f t="shared" si="53"/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0</v>
      </c>
      <c r="T52" s="171">
        <v>0</v>
      </c>
      <c r="U52" s="171">
        <v>0</v>
      </c>
      <c r="V52" s="171">
        <v>0</v>
      </c>
      <c r="W52" s="171">
        <v>0</v>
      </c>
      <c r="X52" s="171">
        <v>0</v>
      </c>
      <c r="Y52" s="171">
        <v>0</v>
      </c>
      <c r="Z52" s="171">
        <v>0</v>
      </c>
      <c r="AA52" s="171">
        <v>0</v>
      </c>
      <c r="AB52" s="171">
        <v>0</v>
      </c>
      <c r="AC52" s="171">
        <v>0</v>
      </c>
      <c r="AD52" s="171">
        <v>0</v>
      </c>
      <c r="AE52" s="171">
        <v>0</v>
      </c>
      <c r="AF52" s="171">
        <v>0</v>
      </c>
      <c r="AG52" s="171">
        <v>0</v>
      </c>
      <c r="AH52" s="171">
        <v>0</v>
      </c>
      <c r="AI52" s="171">
        <v>0</v>
      </c>
      <c r="AJ52" s="171">
        <v>0</v>
      </c>
      <c r="AK52" s="171">
        <v>0</v>
      </c>
      <c r="AL52" s="171">
        <v>0</v>
      </c>
      <c r="AM52" s="171">
        <f t="shared" si="54"/>
        <v>0</v>
      </c>
      <c r="AN52" s="171">
        <f t="shared" si="54"/>
        <v>0.6976625999999999</v>
      </c>
      <c r="AO52" s="171">
        <f t="shared" si="54"/>
        <v>0</v>
      </c>
      <c r="AP52" s="171">
        <f t="shared" si="54"/>
        <v>0</v>
      </c>
      <c r="AQ52" s="171">
        <f t="shared" si="54"/>
        <v>0</v>
      </c>
      <c r="AR52" s="171">
        <f t="shared" si="54"/>
        <v>0</v>
      </c>
      <c r="AS52" s="171">
        <f t="shared" si="54"/>
        <v>0</v>
      </c>
      <c r="AT52" s="171">
        <v>0</v>
      </c>
      <c r="AU52" s="217">
        <f>24.87253/1000</f>
        <v>0.02487253</v>
      </c>
      <c r="AV52" s="171">
        <v>0</v>
      </c>
      <c r="AW52" s="171">
        <v>0</v>
      </c>
      <c r="AX52" s="171">
        <v>0</v>
      </c>
      <c r="AY52" s="171">
        <v>0</v>
      </c>
      <c r="AZ52" s="171">
        <v>0</v>
      </c>
      <c r="BA52" s="171">
        <v>0</v>
      </c>
      <c r="BB52" s="285">
        <f>672790.07/1000000</f>
        <v>0.6727900699999999</v>
      </c>
      <c r="BC52" s="285">
        <v>0</v>
      </c>
      <c r="BD52" s="285">
        <v>0</v>
      </c>
      <c r="BE52" s="285">
        <v>0</v>
      </c>
      <c r="BF52" s="285">
        <v>0</v>
      </c>
      <c r="BG52" s="285">
        <v>0</v>
      </c>
      <c r="BH52" s="285">
        <v>0</v>
      </c>
      <c r="BI52" s="285">
        <v>0</v>
      </c>
      <c r="BJ52" s="285">
        <v>0</v>
      </c>
      <c r="BK52" s="285">
        <v>0</v>
      </c>
      <c r="BL52" s="285">
        <v>0</v>
      </c>
      <c r="BM52" s="285">
        <v>0</v>
      </c>
      <c r="BN52" s="285">
        <v>0</v>
      </c>
      <c r="BO52" s="285">
        <v>0</v>
      </c>
      <c r="BP52" s="285">
        <v>0</v>
      </c>
      <c r="BQ52" s="171">
        <v>0</v>
      </c>
      <c r="BR52" s="171">
        <v>0</v>
      </c>
      <c r="BS52" s="171">
        <v>0</v>
      </c>
      <c r="BT52" s="171">
        <v>0</v>
      </c>
      <c r="BU52" s="171">
        <v>0</v>
      </c>
      <c r="BV52" s="171">
        <f>AN52-E52</f>
        <v>0.6976625999999999</v>
      </c>
      <c r="BW52" s="210"/>
      <c r="BX52" s="171">
        <f>AM52-D52</f>
        <v>0</v>
      </c>
      <c r="BY52" s="171"/>
      <c r="BZ52" s="211" t="s">
        <v>95</v>
      </c>
    </row>
    <row r="53" spans="1:78" s="165" customFormat="1" ht="63">
      <c r="A53" s="45" t="s">
        <v>168</v>
      </c>
      <c r="B53" s="228" t="s">
        <v>94</v>
      </c>
      <c r="C53" s="269"/>
      <c r="D53" s="138">
        <f t="shared" si="53"/>
        <v>0</v>
      </c>
      <c r="E53" s="138">
        <f t="shared" si="53"/>
        <v>0</v>
      </c>
      <c r="F53" s="138">
        <f t="shared" si="53"/>
        <v>0</v>
      </c>
      <c r="G53" s="138">
        <f t="shared" si="53"/>
        <v>0</v>
      </c>
      <c r="H53" s="138">
        <f t="shared" si="53"/>
        <v>0</v>
      </c>
      <c r="I53" s="138">
        <f t="shared" si="53"/>
        <v>0</v>
      </c>
      <c r="J53" s="138">
        <f t="shared" si="53"/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38">
        <v>0</v>
      </c>
      <c r="AF53" s="138">
        <v>0</v>
      </c>
      <c r="AG53" s="138">
        <v>0</v>
      </c>
      <c r="AH53" s="138">
        <v>0</v>
      </c>
      <c r="AI53" s="138">
        <v>0</v>
      </c>
      <c r="AJ53" s="138">
        <v>0</v>
      </c>
      <c r="AK53" s="138">
        <v>0</v>
      </c>
      <c r="AL53" s="138">
        <v>0</v>
      </c>
      <c r="AM53" s="138">
        <f t="shared" si="54"/>
        <v>0</v>
      </c>
      <c r="AN53" s="138">
        <f t="shared" si="54"/>
        <v>0.29607948</v>
      </c>
      <c r="AO53" s="138">
        <f t="shared" si="54"/>
        <v>0.4</v>
      </c>
      <c r="AP53" s="138">
        <f t="shared" si="54"/>
        <v>0</v>
      </c>
      <c r="AQ53" s="138">
        <f t="shared" si="54"/>
        <v>0</v>
      </c>
      <c r="AR53" s="138">
        <f t="shared" si="54"/>
        <v>0</v>
      </c>
      <c r="AS53" s="138">
        <f t="shared" si="54"/>
        <v>0</v>
      </c>
      <c r="AT53" s="138">
        <v>0</v>
      </c>
      <c r="AU53" s="217">
        <f>13/1000</f>
        <v>0.013</v>
      </c>
      <c r="AV53" s="138">
        <v>0</v>
      </c>
      <c r="AW53" s="138">
        <v>0</v>
      </c>
      <c r="AX53" s="138">
        <v>0</v>
      </c>
      <c r="AY53" s="138">
        <v>0</v>
      </c>
      <c r="AZ53" s="138">
        <v>0</v>
      </c>
      <c r="BA53" s="138">
        <v>0</v>
      </c>
      <c r="BB53" s="295">
        <v>0</v>
      </c>
      <c r="BC53" s="295">
        <v>0</v>
      </c>
      <c r="BD53" s="295">
        <v>0</v>
      </c>
      <c r="BE53" s="295">
        <v>0</v>
      </c>
      <c r="BF53" s="295">
        <v>0</v>
      </c>
      <c r="BG53" s="295">
        <v>0</v>
      </c>
      <c r="BH53" s="285">
        <v>0</v>
      </c>
      <c r="BI53" s="285">
        <f>283.07948/1000</f>
        <v>0.28307948</v>
      </c>
      <c r="BJ53" s="285">
        <v>0.4</v>
      </c>
      <c r="BK53" s="285">
        <v>0</v>
      </c>
      <c r="BL53" s="285">
        <v>0</v>
      </c>
      <c r="BM53" s="285">
        <v>0</v>
      </c>
      <c r="BN53" s="285">
        <v>0</v>
      </c>
      <c r="BO53" s="295">
        <v>0</v>
      </c>
      <c r="BP53" s="295">
        <v>0</v>
      </c>
      <c r="BQ53" s="138">
        <v>0</v>
      </c>
      <c r="BR53" s="138">
        <v>0</v>
      </c>
      <c r="BS53" s="138">
        <v>0</v>
      </c>
      <c r="BT53" s="138">
        <v>0</v>
      </c>
      <c r="BU53" s="138">
        <v>0</v>
      </c>
      <c r="BV53" s="138">
        <f>AN53-E53</f>
        <v>0.29607948</v>
      </c>
      <c r="BW53" s="210"/>
      <c r="BX53" s="138">
        <f>AM53-D53</f>
        <v>0</v>
      </c>
      <c r="BY53" s="138"/>
      <c r="BZ53" s="211" t="s">
        <v>95</v>
      </c>
    </row>
    <row r="54" spans="1:78" s="165" customFormat="1" ht="63">
      <c r="A54" s="45"/>
      <c r="B54" s="236" t="s">
        <v>97</v>
      </c>
      <c r="C54" s="269"/>
      <c r="D54" s="138">
        <f t="shared" si="53"/>
        <v>0</v>
      </c>
      <c r="E54" s="138">
        <f t="shared" si="53"/>
        <v>0</v>
      </c>
      <c r="F54" s="138">
        <f t="shared" si="53"/>
        <v>0</v>
      </c>
      <c r="G54" s="138">
        <f t="shared" si="53"/>
        <v>0</v>
      </c>
      <c r="H54" s="138">
        <f t="shared" si="53"/>
        <v>0</v>
      </c>
      <c r="I54" s="138">
        <f t="shared" si="53"/>
        <v>0</v>
      </c>
      <c r="J54" s="138">
        <f t="shared" si="53"/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0</v>
      </c>
      <c r="AE54" s="138">
        <v>0</v>
      </c>
      <c r="AF54" s="138">
        <v>0</v>
      </c>
      <c r="AG54" s="138">
        <v>0</v>
      </c>
      <c r="AH54" s="138">
        <v>0</v>
      </c>
      <c r="AI54" s="138">
        <v>0</v>
      </c>
      <c r="AJ54" s="138">
        <v>0</v>
      </c>
      <c r="AK54" s="138">
        <v>0</v>
      </c>
      <c r="AL54" s="138">
        <v>0</v>
      </c>
      <c r="AM54" s="138">
        <f t="shared" si="54"/>
        <v>0</v>
      </c>
      <c r="AN54" s="138">
        <f t="shared" si="54"/>
        <v>0.025974329999999997</v>
      </c>
      <c r="AO54" s="138">
        <f t="shared" si="54"/>
        <v>0</v>
      </c>
      <c r="AP54" s="138">
        <f t="shared" si="54"/>
        <v>0</v>
      </c>
      <c r="AQ54" s="138">
        <f t="shared" si="54"/>
        <v>0</v>
      </c>
      <c r="AR54" s="138">
        <f t="shared" si="54"/>
        <v>0</v>
      </c>
      <c r="AS54" s="138">
        <f t="shared" si="54"/>
        <v>0</v>
      </c>
      <c r="AT54" s="138">
        <v>0</v>
      </c>
      <c r="AU54" s="217">
        <v>0</v>
      </c>
      <c r="AV54" s="138">
        <v>0</v>
      </c>
      <c r="AW54" s="138">
        <v>0</v>
      </c>
      <c r="AX54" s="138">
        <v>0</v>
      </c>
      <c r="AY54" s="138">
        <v>0</v>
      </c>
      <c r="AZ54" s="138">
        <v>0</v>
      </c>
      <c r="BA54" s="138">
        <v>0</v>
      </c>
      <c r="BB54" s="295">
        <v>0</v>
      </c>
      <c r="BC54" s="295">
        <v>0</v>
      </c>
      <c r="BD54" s="295">
        <v>0</v>
      </c>
      <c r="BE54" s="295">
        <v>0</v>
      </c>
      <c r="BF54" s="295">
        <v>0</v>
      </c>
      <c r="BG54" s="295">
        <v>0</v>
      </c>
      <c r="BH54" s="285">
        <v>0</v>
      </c>
      <c r="BI54" s="285">
        <v>0</v>
      </c>
      <c r="BJ54" s="285">
        <v>0</v>
      </c>
      <c r="BK54" s="285">
        <v>0</v>
      </c>
      <c r="BL54" s="285">
        <v>0</v>
      </c>
      <c r="BM54" s="285">
        <v>0</v>
      </c>
      <c r="BN54" s="285">
        <v>0</v>
      </c>
      <c r="BO54" s="295">
        <v>0</v>
      </c>
      <c r="BP54" s="285">
        <f>25.97433/1000</f>
        <v>0.025974329999999997</v>
      </c>
      <c r="BQ54" s="138">
        <v>0</v>
      </c>
      <c r="BR54" s="138">
        <v>0</v>
      </c>
      <c r="BS54" s="138">
        <v>0</v>
      </c>
      <c r="BT54" s="138">
        <v>0</v>
      </c>
      <c r="BU54" s="138">
        <v>0</v>
      </c>
      <c r="BV54" s="138">
        <f>AN54-E54</f>
        <v>0.025974329999999997</v>
      </c>
      <c r="BW54" s="210"/>
      <c r="BX54" s="138">
        <f>AM54-D54</f>
        <v>0</v>
      </c>
      <c r="BY54" s="138"/>
      <c r="BZ54" s="211" t="s">
        <v>95</v>
      </c>
    </row>
    <row r="55" spans="1:78" s="165" customFormat="1" ht="63">
      <c r="A55" s="45"/>
      <c r="B55" s="236" t="s">
        <v>99</v>
      </c>
      <c r="C55" s="269"/>
      <c r="D55" s="138">
        <f t="shared" si="53"/>
        <v>0</v>
      </c>
      <c r="E55" s="138">
        <f t="shared" si="53"/>
        <v>0</v>
      </c>
      <c r="F55" s="138">
        <f t="shared" si="53"/>
        <v>0</v>
      </c>
      <c r="G55" s="138">
        <f t="shared" si="53"/>
        <v>0</v>
      </c>
      <c r="H55" s="138">
        <f t="shared" si="53"/>
        <v>0</v>
      </c>
      <c r="I55" s="138">
        <f t="shared" si="53"/>
        <v>0</v>
      </c>
      <c r="J55" s="138">
        <f t="shared" si="53"/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0</v>
      </c>
      <c r="AF55" s="138">
        <v>0</v>
      </c>
      <c r="AG55" s="138">
        <v>0</v>
      </c>
      <c r="AH55" s="138">
        <v>0</v>
      </c>
      <c r="AI55" s="138">
        <v>0</v>
      </c>
      <c r="AJ55" s="138">
        <v>0</v>
      </c>
      <c r="AK55" s="138">
        <v>0</v>
      </c>
      <c r="AL55" s="138">
        <v>0</v>
      </c>
      <c r="AM55" s="138">
        <f t="shared" si="54"/>
        <v>0</v>
      </c>
      <c r="AN55" s="138">
        <f t="shared" si="54"/>
        <v>0.26415481</v>
      </c>
      <c r="AO55" s="138">
        <f t="shared" si="54"/>
        <v>0</v>
      </c>
      <c r="AP55" s="138">
        <f t="shared" si="54"/>
        <v>0</v>
      </c>
      <c r="AQ55" s="138">
        <f t="shared" si="54"/>
        <v>0</v>
      </c>
      <c r="AR55" s="138">
        <f t="shared" si="54"/>
        <v>0</v>
      </c>
      <c r="AS55" s="138">
        <f t="shared" si="54"/>
        <v>0</v>
      </c>
      <c r="AT55" s="138">
        <v>0</v>
      </c>
      <c r="AU55" s="217">
        <v>0</v>
      </c>
      <c r="AV55" s="138">
        <v>0</v>
      </c>
      <c r="AW55" s="138">
        <v>0</v>
      </c>
      <c r="AX55" s="138">
        <v>0</v>
      </c>
      <c r="AY55" s="138">
        <v>0</v>
      </c>
      <c r="AZ55" s="138">
        <v>0</v>
      </c>
      <c r="BA55" s="138">
        <v>0</v>
      </c>
      <c r="BB55" s="295">
        <v>0</v>
      </c>
      <c r="BC55" s="295">
        <v>0</v>
      </c>
      <c r="BD55" s="295">
        <v>0</v>
      </c>
      <c r="BE55" s="295">
        <v>0</v>
      </c>
      <c r="BF55" s="295">
        <v>0</v>
      </c>
      <c r="BG55" s="295">
        <v>0</v>
      </c>
      <c r="BH55" s="285">
        <v>0</v>
      </c>
      <c r="BI55" s="285">
        <v>0</v>
      </c>
      <c r="BJ55" s="285">
        <v>0</v>
      </c>
      <c r="BK55" s="285">
        <v>0</v>
      </c>
      <c r="BL55" s="285">
        <v>0</v>
      </c>
      <c r="BM55" s="285">
        <v>0</v>
      </c>
      <c r="BN55" s="285">
        <v>0</v>
      </c>
      <c r="BO55" s="295">
        <v>0</v>
      </c>
      <c r="BP55" s="285">
        <f>264.15481/1000</f>
        <v>0.26415481</v>
      </c>
      <c r="BQ55" s="138">
        <v>0</v>
      </c>
      <c r="BR55" s="138">
        <v>0</v>
      </c>
      <c r="BS55" s="138">
        <v>0</v>
      </c>
      <c r="BT55" s="138">
        <v>0</v>
      </c>
      <c r="BU55" s="138">
        <v>0</v>
      </c>
      <c r="BV55" s="138">
        <f>AN55-E55</f>
        <v>0.26415481</v>
      </c>
      <c r="BW55" s="210"/>
      <c r="BX55" s="138">
        <f>AM55-D55</f>
        <v>0</v>
      </c>
      <c r="BY55" s="138"/>
      <c r="BZ55" s="211" t="s">
        <v>240</v>
      </c>
    </row>
    <row r="56" spans="1:78" s="165" customFormat="1" ht="45" customHeight="1">
      <c r="A56" s="49" t="s">
        <v>100</v>
      </c>
      <c r="B56" s="230" t="s">
        <v>101</v>
      </c>
      <c r="C56" s="268"/>
      <c r="D56" s="215">
        <f aca="true" t="shared" si="55" ref="D56:AI56">SUM(D57:D67)</f>
        <v>0</v>
      </c>
      <c r="E56" s="215">
        <f t="shared" si="55"/>
        <v>0</v>
      </c>
      <c r="F56" s="215">
        <f t="shared" si="55"/>
        <v>0</v>
      </c>
      <c r="G56" s="215">
        <f t="shared" si="55"/>
        <v>0</v>
      </c>
      <c r="H56" s="215">
        <f t="shared" si="55"/>
        <v>0</v>
      </c>
      <c r="I56" s="215">
        <f t="shared" si="55"/>
        <v>0</v>
      </c>
      <c r="J56" s="215">
        <f t="shared" si="55"/>
        <v>0</v>
      </c>
      <c r="K56" s="215">
        <f t="shared" si="55"/>
        <v>0</v>
      </c>
      <c r="L56" s="215">
        <f t="shared" si="55"/>
        <v>0</v>
      </c>
      <c r="M56" s="215">
        <f t="shared" si="55"/>
        <v>0</v>
      </c>
      <c r="N56" s="215">
        <f t="shared" si="55"/>
        <v>0</v>
      </c>
      <c r="O56" s="215">
        <f t="shared" si="55"/>
        <v>0</v>
      </c>
      <c r="P56" s="215">
        <f t="shared" si="55"/>
        <v>0</v>
      </c>
      <c r="Q56" s="215">
        <f t="shared" si="55"/>
        <v>0</v>
      </c>
      <c r="R56" s="215">
        <f t="shared" si="55"/>
        <v>0</v>
      </c>
      <c r="S56" s="215">
        <f t="shared" si="55"/>
        <v>0</v>
      </c>
      <c r="T56" s="215">
        <f t="shared" si="55"/>
        <v>0</v>
      </c>
      <c r="U56" s="215">
        <f t="shared" si="55"/>
        <v>0</v>
      </c>
      <c r="V56" s="215">
        <f t="shared" si="55"/>
        <v>0</v>
      </c>
      <c r="W56" s="215">
        <f t="shared" si="55"/>
        <v>0</v>
      </c>
      <c r="X56" s="215">
        <f t="shared" si="55"/>
        <v>0</v>
      </c>
      <c r="Y56" s="215">
        <f t="shared" si="55"/>
        <v>0</v>
      </c>
      <c r="Z56" s="215">
        <f t="shared" si="55"/>
        <v>0</v>
      </c>
      <c r="AA56" s="215">
        <f t="shared" si="55"/>
        <v>0</v>
      </c>
      <c r="AB56" s="215">
        <f t="shared" si="55"/>
        <v>0</v>
      </c>
      <c r="AC56" s="215">
        <f t="shared" si="55"/>
        <v>0</v>
      </c>
      <c r="AD56" s="215">
        <f t="shared" si="55"/>
        <v>0</v>
      </c>
      <c r="AE56" s="215">
        <f t="shared" si="55"/>
        <v>0</v>
      </c>
      <c r="AF56" s="215">
        <f t="shared" si="55"/>
        <v>0</v>
      </c>
      <c r="AG56" s="215">
        <f t="shared" si="55"/>
        <v>0</v>
      </c>
      <c r="AH56" s="215">
        <f t="shared" si="55"/>
        <v>0</v>
      </c>
      <c r="AI56" s="215">
        <f t="shared" si="55"/>
        <v>0</v>
      </c>
      <c r="AJ56" s="215">
        <f aca="true" t="shared" si="56" ref="AJ56:BO56">SUM(AJ57:AJ67)</f>
        <v>0</v>
      </c>
      <c r="AK56" s="215">
        <f t="shared" si="56"/>
        <v>0</v>
      </c>
      <c r="AL56" s="215">
        <f t="shared" si="56"/>
        <v>0</v>
      </c>
      <c r="AM56" s="215">
        <f t="shared" si="56"/>
        <v>0</v>
      </c>
      <c r="AN56" s="215">
        <f t="shared" si="56"/>
        <v>0.18278912</v>
      </c>
      <c r="AO56" s="215">
        <f t="shared" si="56"/>
        <v>0</v>
      </c>
      <c r="AP56" s="215">
        <f t="shared" si="56"/>
        <v>0</v>
      </c>
      <c r="AQ56" s="215">
        <f t="shared" si="56"/>
        <v>0.855</v>
      </c>
      <c r="AR56" s="215">
        <f t="shared" si="56"/>
        <v>0</v>
      </c>
      <c r="AS56" s="215">
        <f t="shared" si="56"/>
        <v>0</v>
      </c>
      <c r="AT56" s="215">
        <f t="shared" si="56"/>
        <v>0</v>
      </c>
      <c r="AU56" s="215">
        <f t="shared" si="56"/>
        <v>0.05444757</v>
      </c>
      <c r="AV56" s="215">
        <f t="shared" si="56"/>
        <v>0</v>
      </c>
      <c r="AW56" s="215">
        <f t="shared" si="56"/>
        <v>0</v>
      </c>
      <c r="AX56" s="215">
        <f t="shared" si="56"/>
        <v>0.025</v>
      </c>
      <c r="AY56" s="215">
        <f t="shared" si="56"/>
        <v>0</v>
      </c>
      <c r="AZ56" s="215">
        <f t="shared" si="56"/>
        <v>0</v>
      </c>
      <c r="BA56" s="215">
        <f t="shared" si="56"/>
        <v>0</v>
      </c>
      <c r="BB56" s="286">
        <f t="shared" si="56"/>
        <v>0.06272155</v>
      </c>
      <c r="BC56" s="286">
        <f t="shared" si="56"/>
        <v>0</v>
      </c>
      <c r="BD56" s="286">
        <f t="shared" si="56"/>
        <v>0</v>
      </c>
      <c r="BE56" s="286">
        <f t="shared" si="56"/>
        <v>0.83</v>
      </c>
      <c r="BF56" s="286">
        <f t="shared" si="56"/>
        <v>0</v>
      </c>
      <c r="BG56" s="286">
        <f t="shared" si="56"/>
        <v>0</v>
      </c>
      <c r="BH56" s="286">
        <f t="shared" si="56"/>
        <v>0</v>
      </c>
      <c r="BI56" s="286">
        <f t="shared" si="56"/>
        <v>0.06562</v>
      </c>
      <c r="BJ56" s="286">
        <f t="shared" si="56"/>
        <v>0</v>
      </c>
      <c r="BK56" s="286">
        <f t="shared" si="56"/>
        <v>0</v>
      </c>
      <c r="BL56" s="286">
        <f t="shared" si="56"/>
        <v>0</v>
      </c>
      <c r="BM56" s="286">
        <f t="shared" si="56"/>
        <v>0</v>
      </c>
      <c r="BN56" s="286">
        <f t="shared" si="56"/>
        <v>0</v>
      </c>
      <c r="BO56" s="286">
        <f t="shared" si="56"/>
        <v>0</v>
      </c>
      <c r="BP56" s="286">
        <f aca="true" t="shared" si="57" ref="BP56:BV56">SUM(BP57:BP67)</f>
        <v>0</v>
      </c>
      <c r="BQ56" s="215">
        <f t="shared" si="57"/>
        <v>0</v>
      </c>
      <c r="BR56" s="215">
        <f t="shared" si="57"/>
        <v>0</v>
      </c>
      <c r="BS56" s="215">
        <f t="shared" si="57"/>
        <v>0</v>
      </c>
      <c r="BT56" s="215">
        <f t="shared" si="57"/>
        <v>0</v>
      </c>
      <c r="BU56" s="215">
        <f t="shared" si="57"/>
        <v>0</v>
      </c>
      <c r="BV56" s="215">
        <f t="shared" si="57"/>
        <v>0.11716912</v>
      </c>
      <c r="BW56" s="215"/>
      <c r="BX56" s="215">
        <f>SUM(BX57:BX67)</f>
        <v>0</v>
      </c>
      <c r="BY56" s="215"/>
      <c r="BZ56" s="211"/>
    </row>
    <row r="57" spans="1:78" s="165" customFormat="1" ht="63">
      <c r="A57" s="45" t="s">
        <v>102</v>
      </c>
      <c r="B57" s="228" t="s">
        <v>103</v>
      </c>
      <c r="C57" s="268"/>
      <c r="D57" s="171">
        <f aca="true" t="shared" si="58" ref="D57:D67">K57+R57++Y57+AF57</f>
        <v>0</v>
      </c>
      <c r="E57" s="171">
        <f aca="true" t="shared" si="59" ref="E57:E67">L57+S57++Z57+AG57</f>
        <v>0</v>
      </c>
      <c r="F57" s="171">
        <f aca="true" t="shared" si="60" ref="F57:F67">M57+T57++AA57+AH57</f>
        <v>0</v>
      </c>
      <c r="G57" s="171">
        <f aca="true" t="shared" si="61" ref="G57:G67">N57+U57++AB57+AI57</f>
        <v>0</v>
      </c>
      <c r="H57" s="171">
        <f aca="true" t="shared" si="62" ref="H57:H67">O57+V57++AC57+AJ57</f>
        <v>0</v>
      </c>
      <c r="I57" s="171">
        <f aca="true" t="shared" si="63" ref="I57:I67">P57+W57++AD57+AK57</f>
        <v>0</v>
      </c>
      <c r="J57" s="171">
        <f aca="true" t="shared" si="64" ref="J57:J67">Q57+X57++AE57+AL57</f>
        <v>0</v>
      </c>
      <c r="K57" s="171">
        <v>0</v>
      </c>
      <c r="L57" s="171">
        <v>0</v>
      </c>
      <c r="M57" s="171">
        <v>0</v>
      </c>
      <c r="N57" s="171">
        <v>0</v>
      </c>
      <c r="O57" s="171">
        <v>0</v>
      </c>
      <c r="P57" s="171">
        <v>0</v>
      </c>
      <c r="Q57" s="171">
        <v>0</v>
      </c>
      <c r="R57" s="171">
        <v>0</v>
      </c>
      <c r="S57" s="171">
        <v>0</v>
      </c>
      <c r="T57" s="171">
        <v>0</v>
      </c>
      <c r="U57" s="171">
        <v>0</v>
      </c>
      <c r="V57" s="171">
        <v>0</v>
      </c>
      <c r="W57" s="171">
        <v>0</v>
      </c>
      <c r="X57" s="171">
        <v>0</v>
      </c>
      <c r="Y57" s="171">
        <v>0</v>
      </c>
      <c r="Z57" s="171">
        <v>0</v>
      </c>
      <c r="AA57" s="171">
        <v>0</v>
      </c>
      <c r="AB57" s="171">
        <v>0</v>
      </c>
      <c r="AC57" s="171">
        <v>0</v>
      </c>
      <c r="AD57" s="171">
        <v>0</v>
      </c>
      <c r="AE57" s="171">
        <v>0</v>
      </c>
      <c r="AF57" s="171">
        <v>0</v>
      </c>
      <c r="AG57" s="171">
        <v>0</v>
      </c>
      <c r="AH57" s="171">
        <v>0</v>
      </c>
      <c r="AI57" s="171">
        <v>0</v>
      </c>
      <c r="AJ57" s="171">
        <v>0</v>
      </c>
      <c r="AK57" s="171">
        <v>0</v>
      </c>
      <c r="AL57" s="171">
        <v>0</v>
      </c>
      <c r="AM57" s="171">
        <f aca="true" t="shared" si="65" ref="AM57:AM67">AT57+BA57++BH57+BO57</f>
        <v>0</v>
      </c>
      <c r="AN57" s="171">
        <f aca="true" t="shared" si="66" ref="AN57:AN67">AU57+BB57++BI57+BP57</f>
        <v>0.047901769999999996</v>
      </c>
      <c r="AO57" s="171">
        <f aca="true" t="shared" si="67" ref="AO57:AO67">AV57+BC57++BJ57+BQ57</f>
        <v>0</v>
      </c>
      <c r="AP57" s="171">
        <f aca="true" t="shared" si="68" ref="AP57:AP67">AW57+BD57++BK57+BR57</f>
        <v>0</v>
      </c>
      <c r="AQ57" s="171">
        <f aca="true" t="shared" si="69" ref="AQ57:AQ67">AX57+BE57++BL57+BS57</f>
        <v>0</v>
      </c>
      <c r="AR57" s="171">
        <f aca="true" t="shared" si="70" ref="AR57:AR67">AY57+BF57++BM57+BT57</f>
        <v>0</v>
      </c>
      <c r="AS57" s="171">
        <f aca="true" t="shared" si="71" ref="AS57:AS67">AZ57+BG57++BN57+BU57</f>
        <v>0</v>
      </c>
      <c r="AT57" s="171">
        <v>0</v>
      </c>
      <c r="AU57" s="217">
        <f>47.90177/1000</f>
        <v>0.047901769999999996</v>
      </c>
      <c r="AV57" s="171">
        <v>0</v>
      </c>
      <c r="AW57" s="171">
        <v>0</v>
      </c>
      <c r="AX57" s="171">
        <v>0</v>
      </c>
      <c r="AY57" s="171">
        <v>0</v>
      </c>
      <c r="AZ57" s="171">
        <v>0</v>
      </c>
      <c r="BA57" s="171">
        <v>0</v>
      </c>
      <c r="BB57" s="285">
        <v>0</v>
      </c>
      <c r="BC57" s="285">
        <v>0</v>
      </c>
      <c r="BD57" s="285">
        <v>0</v>
      </c>
      <c r="BE57" s="285">
        <v>0</v>
      </c>
      <c r="BF57" s="285">
        <v>0</v>
      </c>
      <c r="BG57" s="285">
        <v>0</v>
      </c>
      <c r="BH57" s="285">
        <v>0</v>
      </c>
      <c r="BI57" s="285">
        <v>0</v>
      </c>
      <c r="BJ57" s="285">
        <v>0</v>
      </c>
      <c r="BK57" s="285">
        <v>0</v>
      </c>
      <c r="BL57" s="285">
        <v>0</v>
      </c>
      <c r="BM57" s="285">
        <v>0</v>
      </c>
      <c r="BN57" s="285">
        <v>0</v>
      </c>
      <c r="BO57" s="285">
        <v>0</v>
      </c>
      <c r="BP57" s="285">
        <v>0</v>
      </c>
      <c r="BQ57" s="171">
        <v>0</v>
      </c>
      <c r="BR57" s="171">
        <v>0</v>
      </c>
      <c r="BS57" s="171">
        <v>0</v>
      </c>
      <c r="BT57" s="171">
        <v>0</v>
      </c>
      <c r="BU57" s="171">
        <v>0</v>
      </c>
      <c r="BV57" s="171">
        <f>AN57-E57</f>
        <v>0.047901769999999996</v>
      </c>
      <c r="BW57" s="210"/>
      <c r="BX57" s="171">
        <f>AM57-D57</f>
        <v>0</v>
      </c>
      <c r="BY57" s="171"/>
      <c r="BZ57" s="211" t="s">
        <v>95</v>
      </c>
    </row>
    <row r="58" spans="1:78" s="165" customFormat="1" ht="63">
      <c r="A58" s="45" t="s">
        <v>104</v>
      </c>
      <c r="B58" s="228" t="s">
        <v>172</v>
      </c>
      <c r="C58" s="268"/>
      <c r="D58" s="171">
        <f t="shared" si="58"/>
        <v>0</v>
      </c>
      <c r="E58" s="171">
        <f t="shared" si="59"/>
        <v>0</v>
      </c>
      <c r="F58" s="171">
        <f t="shared" si="60"/>
        <v>0</v>
      </c>
      <c r="G58" s="171">
        <f t="shared" si="61"/>
        <v>0</v>
      </c>
      <c r="H58" s="171">
        <f t="shared" si="62"/>
        <v>0</v>
      </c>
      <c r="I58" s="171">
        <f t="shared" si="63"/>
        <v>0</v>
      </c>
      <c r="J58" s="171">
        <f t="shared" si="64"/>
        <v>0</v>
      </c>
      <c r="K58" s="171">
        <v>0</v>
      </c>
      <c r="L58" s="171">
        <v>0</v>
      </c>
      <c r="M58" s="171">
        <v>0</v>
      </c>
      <c r="N58" s="171">
        <v>0</v>
      </c>
      <c r="O58" s="171">
        <v>0</v>
      </c>
      <c r="P58" s="171">
        <v>0</v>
      </c>
      <c r="Q58" s="171">
        <v>0</v>
      </c>
      <c r="R58" s="171">
        <v>0</v>
      </c>
      <c r="S58" s="171">
        <v>0</v>
      </c>
      <c r="T58" s="171">
        <v>0</v>
      </c>
      <c r="U58" s="171">
        <v>0</v>
      </c>
      <c r="V58" s="171">
        <v>0</v>
      </c>
      <c r="W58" s="171">
        <v>0</v>
      </c>
      <c r="X58" s="171">
        <v>0</v>
      </c>
      <c r="Y58" s="171">
        <v>0</v>
      </c>
      <c r="Z58" s="171">
        <v>0</v>
      </c>
      <c r="AA58" s="171">
        <v>0</v>
      </c>
      <c r="AB58" s="171">
        <v>0</v>
      </c>
      <c r="AC58" s="171">
        <v>0</v>
      </c>
      <c r="AD58" s="171">
        <v>0</v>
      </c>
      <c r="AE58" s="171">
        <v>0</v>
      </c>
      <c r="AF58" s="171">
        <v>0</v>
      </c>
      <c r="AG58" s="171">
        <v>0</v>
      </c>
      <c r="AH58" s="171">
        <v>0</v>
      </c>
      <c r="AI58" s="171">
        <v>0</v>
      </c>
      <c r="AJ58" s="171">
        <v>0</v>
      </c>
      <c r="AK58" s="171">
        <v>0</v>
      </c>
      <c r="AL58" s="171">
        <v>0</v>
      </c>
      <c r="AM58" s="171">
        <f t="shared" si="65"/>
        <v>0</v>
      </c>
      <c r="AN58" s="171">
        <f t="shared" si="66"/>
        <v>0.006545800000000001</v>
      </c>
      <c r="AO58" s="171">
        <f t="shared" si="67"/>
        <v>0</v>
      </c>
      <c r="AP58" s="171">
        <f t="shared" si="68"/>
        <v>0</v>
      </c>
      <c r="AQ58" s="171">
        <f t="shared" si="69"/>
        <v>0.025</v>
      </c>
      <c r="AR58" s="171">
        <f t="shared" si="70"/>
        <v>0</v>
      </c>
      <c r="AS58" s="171">
        <f t="shared" si="71"/>
        <v>0</v>
      </c>
      <c r="AT58" s="171">
        <v>0</v>
      </c>
      <c r="AU58" s="171">
        <f>0.007724044/1.18</f>
        <v>0.006545800000000001</v>
      </c>
      <c r="AV58" s="171">
        <v>0</v>
      </c>
      <c r="AW58" s="171">
        <v>0</v>
      </c>
      <c r="AX58" s="171">
        <v>0.025</v>
      </c>
      <c r="AY58" s="171">
        <v>0</v>
      </c>
      <c r="AZ58" s="171">
        <v>0</v>
      </c>
      <c r="BA58" s="171">
        <v>0</v>
      </c>
      <c r="BB58" s="285">
        <v>0</v>
      </c>
      <c r="BC58" s="285">
        <v>0</v>
      </c>
      <c r="BD58" s="285">
        <v>0</v>
      </c>
      <c r="BE58" s="285">
        <v>0</v>
      </c>
      <c r="BF58" s="285">
        <v>0</v>
      </c>
      <c r="BG58" s="285">
        <v>0</v>
      </c>
      <c r="BH58" s="285">
        <v>0</v>
      </c>
      <c r="BI58" s="285">
        <v>0</v>
      </c>
      <c r="BJ58" s="285">
        <v>0</v>
      </c>
      <c r="BK58" s="285">
        <v>0</v>
      </c>
      <c r="BL58" s="285">
        <v>0</v>
      </c>
      <c r="BM58" s="285">
        <v>0</v>
      </c>
      <c r="BN58" s="285">
        <v>0</v>
      </c>
      <c r="BO58" s="285">
        <v>0</v>
      </c>
      <c r="BP58" s="285">
        <v>0</v>
      </c>
      <c r="BQ58" s="171">
        <v>0</v>
      </c>
      <c r="BR58" s="171">
        <v>0</v>
      </c>
      <c r="BS58" s="171">
        <v>0</v>
      </c>
      <c r="BT58" s="171">
        <v>0</v>
      </c>
      <c r="BU58" s="171">
        <v>0</v>
      </c>
      <c r="BV58" s="171">
        <f>AN58-E58</f>
        <v>0.006545800000000001</v>
      </c>
      <c r="BW58" s="210"/>
      <c r="BX58" s="171">
        <f>AM58-D58</f>
        <v>0</v>
      </c>
      <c r="BY58" s="171"/>
      <c r="BZ58" s="211" t="s">
        <v>209</v>
      </c>
    </row>
    <row r="59" spans="1:78" s="165" customFormat="1" ht="18.75">
      <c r="A59" s="45" t="s">
        <v>106</v>
      </c>
      <c r="B59" s="228" t="s">
        <v>107</v>
      </c>
      <c r="C59" s="269"/>
      <c r="D59" s="171">
        <f t="shared" si="58"/>
        <v>0</v>
      </c>
      <c r="E59" s="171">
        <f t="shared" si="59"/>
        <v>0</v>
      </c>
      <c r="F59" s="171">
        <f t="shared" si="60"/>
        <v>0</v>
      </c>
      <c r="G59" s="171">
        <f t="shared" si="61"/>
        <v>0</v>
      </c>
      <c r="H59" s="171">
        <f t="shared" si="62"/>
        <v>0</v>
      </c>
      <c r="I59" s="171">
        <f t="shared" si="63"/>
        <v>0</v>
      </c>
      <c r="J59" s="171">
        <f t="shared" si="64"/>
        <v>0</v>
      </c>
      <c r="K59" s="171">
        <v>0</v>
      </c>
      <c r="L59" s="171">
        <v>0</v>
      </c>
      <c r="M59" s="171">
        <v>0</v>
      </c>
      <c r="N59" s="171">
        <v>0</v>
      </c>
      <c r="O59" s="171">
        <v>0</v>
      </c>
      <c r="P59" s="171">
        <v>0</v>
      </c>
      <c r="Q59" s="171">
        <v>0</v>
      </c>
      <c r="R59" s="171">
        <v>0</v>
      </c>
      <c r="S59" s="171">
        <v>0</v>
      </c>
      <c r="T59" s="171">
        <v>0</v>
      </c>
      <c r="U59" s="171">
        <v>0</v>
      </c>
      <c r="V59" s="171">
        <v>0</v>
      </c>
      <c r="W59" s="171">
        <v>0</v>
      </c>
      <c r="X59" s="171">
        <v>0</v>
      </c>
      <c r="Y59" s="171">
        <v>0</v>
      </c>
      <c r="Z59" s="171">
        <v>0</v>
      </c>
      <c r="AA59" s="171">
        <v>0</v>
      </c>
      <c r="AB59" s="171">
        <v>0</v>
      </c>
      <c r="AC59" s="171">
        <v>0</v>
      </c>
      <c r="AD59" s="171">
        <v>0</v>
      </c>
      <c r="AE59" s="171">
        <v>0</v>
      </c>
      <c r="AF59" s="171">
        <v>0</v>
      </c>
      <c r="AG59" s="171">
        <v>0</v>
      </c>
      <c r="AH59" s="171">
        <v>0</v>
      </c>
      <c r="AI59" s="171">
        <v>0</v>
      </c>
      <c r="AJ59" s="171">
        <v>0</v>
      </c>
      <c r="AK59" s="171">
        <v>0</v>
      </c>
      <c r="AL59" s="171">
        <v>0</v>
      </c>
      <c r="AM59" s="171">
        <f t="shared" si="65"/>
        <v>0</v>
      </c>
      <c r="AN59" s="171">
        <f t="shared" si="66"/>
        <v>0.06272155</v>
      </c>
      <c r="AO59" s="171">
        <f t="shared" si="67"/>
        <v>0</v>
      </c>
      <c r="AP59" s="171">
        <f t="shared" si="68"/>
        <v>0</v>
      </c>
      <c r="AQ59" s="171">
        <f t="shared" si="69"/>
        <v>0.83</v>
      </c>
      <c r="AR59" s="171">
        <f t="shared" si="70"/>
        <v>0</v>
      </c>
      <c r="AS59" s="171">
        <f t="shared" si="71"/>
        <v>0</v>
      </c>
      <c r="AT59" s="171">
        <v>0</v>
      </c>
      <c r="AU59" s="171">
        <v>0</v>
      </c>
      <c r="AV59" s="171">
        <v>0</v>
      </c>
      <c r="AW59" s="171">
        <v>0</v>
      </c>
      <c r="AX59" s="171">
        <v>0</v>
      </c>
      <c r="AY59" s="171">
        <v>0</v>
      </c>
      <c r="AZ59" s="171">
        <v>0</v>
      </c>
      <c r="BA59" s="171">
        <v>0</v>
      </c>
      <c r="BB59" s="285">
        <f>62721.55/1000000</f>
        <v>0.06272155</v>
      </c>
      <c r="BC59" s="285">
        <v>0</v>
      </c>
      <c r="BD59" s="285">
        <v>0</v>
      </c>
      <c r="BE59" s="285">
        <f>'15  постановка под напр'!AO63</f>
        <v>0.83</v>
      </c>
      <c r="BF59" s="285">
        <v>0</v>
      </c>
      <c r="BG59" s="285">
        <v>0</v>
      </c>
      <c r="BH59" s="285">
        <v>0</v>
      </c>
      <c r="BI59" s="285">
        <v>0</v>
      </c>
      <c r="BJ59" s="285">
        <v>0</v>
      </c>
      <c r="BK59" s="285">
        <v>0</v>
      </c>
      <c r="BL59" s="285">
        <v>0</v>
      </c>
      <c r="BM59" s="285">
        <v>0</v>
      </c>
      <c r="BN59" s="285">
        <v>0</v>
      </c>
      <c r="BO59" s="285">
        <v>0</v>
      </c>
      <c r="BP59" s="285">
        <v>0</v>
      </c>
      <c r="BQ59" s="171">
        <v>0</v>
      </c>
      <c r="BR59" s="171">
        <v>0</v>
      </c>
      <c r="BS59" s="171">
        <v>0</v>
      </c>
      <c r="BT59" s="171">
        <v>0</v>
      </c>
      <c r="BU59" s="171">
        <v>0</v>
      </c>
      <c r="BV59" s="171">
        <f>AN59-E59</f>
        <v>0.06272155</v>
      </c>
      <c r="BW59" s="210"/>
      <c r="BX59" s="171">
        <f>AM59-D59</f>
        <v>0</v>
      </c>
      <c r="BY59" s="171"/>
      <c r="BZ59" s="211"/>
    </row>
    <row r="60" spans="1:78" s="165" customFormat="1" ht="35.25" customHeight="1">
      <c r="A60" s="49"/>
      <c r="B60" s="236" t="s">
        <v>109</v>
      </c>
      <c r="C60" s="268"/>
      <c r="D60" s="171">
        <f t="shared" si="58"/>
        <v>0</v>
      </c>
      <c r="E60" s="171">
        <f t="shared" si="59"/>
        <v>0</v>
      </c>
      <c r="F60" s="171">
        <f t="shared" si="60"/>
        <v>0</v>
      </c>
      <c r="G60" s="171">
        <f t="shared" si="61"/>
        <v>0</v>
      </c>
      <c r="H60" s="171">
        <f t="shared" si="62"/>
        <v>0</v>
      </c>
      <c r="I60" s="171">
        <f t="shared" si="63"/>
        <v>0</v>
      </c>
      <c r="J60" s="171">
        <f t="shared" si="64"/>
        <v>0</v>
      </c>
      <c r="K60" s="171">
        <v>0</v>
      </c>
      <c r="L60" s="171">
        <v>0</v>
      </c>
      <c r="M60" s="171">
        <v>0</v>
      </c>
      <c r="N60" s="171">
        <v>0</v>
      </c>
      <c r="O60" s="171">
        <v>0</v>
      </c>
      <c r="P60" s="171">
        <v>0</v>
      </c>
      <c r="Q60" s="171">
        <v>0</v>
      </c>
      <c r="R60" s="171">
        <v>0</v>
      </c>
      <c r="S60" s="171">
        <v>0</v>
      </c>
      <c r="T60" s="171">
        <v>0</v>
      </c>
      <c r="U60" s="171">
        <v>0</v>
      </c>
      <c r="V60" s="171">
        <v>0</v>
      </c>
      <c r="W60" s="171">
        <v>0</v>
      </c>
      <c r="X60" s="171">
        <v>0</v>
      </c>
      <c r="Y60" s="171">
        <v>0</v>
      </c>
      <c r="Z60" s="171">
        <v>0</v>
      </c>
      <c r="AA60" s="171">
        <v>0</v>
      </c>
      <c r="AB60" s="171">
        <v>0</v>
      </c>
      <c r="AC60" s="171">
        <v>0</v>
      </c>
      <c r="AD60" s="171">
        <v>0</v>
      </c>
      <c r="AE60" s="171">
        <v>0</v>
      </c>
      <c r="AF60" s="171">
        <v>0</v>
      </c>
      <c r="AG60" s="171">
        <v>0</v>
      </c>
      <c r="AH60" s="171">
        <v>0</v>
      </c>
      <c r="AI60" s="171">
        <v>0</v>
      </c>
      <c r="AJ60" s="171">
        <v>0</v>
      </c>
      <c r="AK60" s="171">
        <v>0</v>
      </c>
      <c r="AL60" s="171">
        <v>0</v>
      </c>
      <c r="AM60" s="171">
        <f t="shared" si="65"/>
        <v>0</v>
      </c>
      <c r="AN60" s="171">
        <f t="shared" si="66"/>
        <v>0.00658</v>
      </c>
      <c r="AO60" s="171">
        <f t="shared" si="67"/>
        <v>0</v>
      </c>
      <c r="AP60" s="171">
        <f t="shared" si="68"/>
        <v>0</v>
      </c>
      <c r="AQ60" s="171">
        <f t="shared" si="69"/>
        <v>0</v>
      </c>
      <c r="AR60" s="171">
        <f t="shared" si="70"/>
        <v>0</v>
      </c>
      <c r="AS60" s="171">
        <f t="shared" si="71"/>
        <v>0</v>
      </c>
      <c r="AT60" s="171">
        <v>0</v>
      </c>
      <c r="AU60" s="171">
        <v>0</v>
      </c>
      <c r="AV60" s="171">
        <v>0</v>
      </c>
      <c r="AW60" s="171">
        <v>0</v>
      </c>
      <c r="AX60" s="171">
        <v>0</v>
      </c>
      <c r="AY60" s="171">
        <v>0</v>
      </c>
      <c r="AZ60" s="171">
        <v>0</v>
      </c>
      <c r="BA60" s="171">
        <v>0</v>
      </c>
      <c r="BB60" s="285">
        <v>0</v>
      </c>
      <c r="BC60" s="285">
        <v>0</v>
      </c>
      <c r="BD60" s="285">
        <v>0</v>
      </c>
      <c r="BE60" s="285">
        <v>0</v>
      </c>
      <c r="BF60" s="285">
        <v>0</v>
      </c>
      <c r="BG60" s="285">
        <v>0</v>
      </c>
      <c r="BH60" s="285">
        <v>0</v>
      </c>
      <c r="BI60" s="285">
        <f>6.58/1000</f>
        <v>0.00658</v>
      </c>
      <c r="BJ60" s="285">
        <v>0</v>
      </c>
      <c r="BK60" s="285">
        <v>0</v>
      </c>
      <c r="BL60" s="285">
        <v>0</v>
      </c>
      <c r="BM60" s="285">
        <v>0</v>
      </c>
      <c r="BN60" s="285">
        <v>0</v>
      </c>
      <c r="BO60" s="285">
        <v>0</v>
      </c>
      <c r="BP60" s="285">
        <v>0</v>
      </c>
      <c r="BQ60" s="171">
        <v>0</v>
      </c>
      <c r="BR60" s="171">
        <v>0</v>
      </c>
      <c r="BS60" s="171">
        <v>0</v>
      </c>
      <c r="BT60" s="171">
        <v>0</v>
      </c>
      <c r="BU60" s="171">
        <v>0</v>
      </c>
      <c r="BV60" s="171">
        <v>0</v>
      </c>
      <c r="BW60" s="210"/>
      <c r="BX60" s="171">
        <v>0</v>
      </c>
      <c r="BY60" s="171"/>
      <c r="BZ60" s="211"/>
    </row>
    <row r="61" spans="1:78" s="165" customFormat="1" ht="37.5" customHeight="1">
      <c r="A61" s="49"/>
      <c r="B61" s="236" t="s">
        <v>111</v>
      </c>
      <c r="C61" s="268"/>
      <c r="D61" s="171">
        <f t="shared" si="58"/>
        <v>0</v>
      </c>
      <c r="E61" s="171">
        <f t="shared" si="59"/>
        <v>0</v>
      </c>
      <c r="F61" s="171">
        <f t="shared" si="60"/>
        <v>0</v>
      </c>
      <c r="G61" s="171">
        <f t="shared" si="61"/>
        <v>0</v>
      </c>
      <c r="H61" s="171">
        <f t="shared" si="62"/>
        <v>0</v>
      </c>
      <c r="I61" s="171">
        <f t="shared" si="63"/>
        <v>0</v>
      </c>
      <c r="J61" s="171">
        <f t="shared" si="64"/>
        <v>0</v>
      </c>
      <c r="K61" s="171">
        <v>0</v>
      </c>
      <c r="L61" s="171">
        <v>0</v>
      </c>
      <c r="M61" s="171">
        <v>0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0</v>
      </c>
      <c r="AA61" s="171">
        <v>0</v>
      </c>
      <c r="AB61" s="171">
        <v>0</v>
      </c>
      <c r="AC61" s="171">
        <v>0</v>
      </c>
      <c r="AD61" s="171">
        <v>0</v>
      </c>
      <c r="AE61" s="171">
        <v>0</v>
      </c>
      <c r="AF61" s="171">
        <v>0</v>
      </c>
      <c r="AG61" s="171">
        <v>0</v>
      </c>
      <c r="AH61" s="171">
        <v>0</v>
      </c>
      <c r="AI61" s="171">
        <v>0</v>
      </c>
      <c r="AJ61" s="171">
        <v>0</v>
      </c>
      <c r="AK61" s="171">
        <v>0</v>
      </c>
      <c r="AL61" s="171">
        <v>0</v>
      </c>
      <c r="AM61" s="171">
        <f t="shared" si="65"/>
        <v>0</v>
      </c>
      <c r="AN61" s="171">
        <f t="shared" si="66"/>
        <v>0.00661</v>
      </c>
      <c r="AO61" s="171">
        <f t="shared" si="67"/>
        <v>0</v>
      </c>
      <c r="AP61" s="171">
        <f t="shared" si="68"/>
        <v>0</v>
      </c>
      <c r="AQ61" s="171">
        <f t="shared" si="69"/>
        <v>0</v>
      </c>
      <c r="AR61" s="171">
        <f t="shared" si="70"/>
        <v>0</v>
      </c>
      <c r="AS61" s="171">
        <f t="shared" si="71"/>
        <v>0</v>
      </c>
      <c r="AT61" s="171">
        <v>0</v>
      </c>
      <c r="AU61" s="171">
        <v>0</v>
      </c>
      <c r="AV61" s="171">
        <v>0</v>
      </c>
      <c r="AW61" s="171">
        <v>0</v>
      </c>
      <c r="AX61" s="171">
        <v>0</v>
      </c>
      <c r="AY61" s="171">
        <v>0</v>
      </c>
      <c r="AZ61" s="171">
        <v>0</v>
      </c>
      <c r="BA61" s="171">
        <v>0</v>
      </c>
      <c r="BB61" s="285">
        <v>0</v>
      </c>
      <c r="BC61" s="285">
        <v>0</v>
      </c>
      <c r="BD61" s="285">
        <v>0</v>
      </c>
      <c r="BE61" s="285">
        <v>0</v>
      </c>
      <c r="BF61" s="285">
        <v>0</v>
      </c>
      <c r="BG61" s="285">
        <v>0</v>
      </c>
      <c r="BH61" s="285">
        <v>0</v>
      </c>
      <c r="BI61" s="285">
        <f>6.61/1000</f>
        <v>0.00661</v>
      </c>
      <c r="BJ61" s="285">
        <v>0</v>
      </c>
      <c r="BK61" s="285">
        <v>0</v>
      </c>
      <c r="BL61" s="285">
        <v>0</v>
      </c>
      <c r="BM61" s="285">
        <v>0</v>
      </c>
      <c r="BN61" s="285">
        <v>0</v>
      </c>
      <c r="BO61" s="285">
        <v>0</v>
      </c>
      <c r="BP61" s="285">
        <v>0</v>
      </c>
      <c r="BQ61" s="171">
        <v>0</v>
      </c>
      <c r="BR61" s="171">
        <v>0</v>
      </c>
      <c r="BS61" s="171">
        <v>0</v>
      </c>
      <c r="BT61" s="171">
        <v>0</v>
      </c>
      <c r="BU61" s="171">
        <v>0</v>
      </c>
      <c r="BV61" s="171">
        <v>0</v>
      </c>
      <c r="BW61" s="210"/>
      <c r="BX61" s="171">
        <v>0</v>
      </c>
      <c r="BY61" s="171"/>
      <c r="BZ61" s="211"/>
    </row>
    <row r="62" spans="1:78" s="165" customFormat="1" ht="37.5" customHeight="1">
      <c r="A62" s="49"/>
      <c r="B62" s="236" t="s">
        <v>113</v>
      </c>
      <c r="C62" s="268"/>
      <c r="D62" s="171">
        <f t="shared" si="58"/>
        <v>0</v>
      </c>
      <c r="E62" s="171">
        <f t="shared" si="59"/>
        <v>0</v>
      </c>
      <c r="F62" s="171">
        <f t="shared" si="60"/>
        <v>0</v>
      </c>
      <c r="G62" s="171">
        <f t="shared" si="61"/>
        <v>0</v>
      </c>
      <c r="H62" s="171">
        <f t="shared" si="62"/>
        <v>0</v>
      </c>
      <c r="I62" s="171">
        <f t="shared" si="63"/>
        <v>0</v>
      </c>
      <c r="J62" s="171">
        <f t="shared" si="64"/>
        <v>0</v>
      </c>
      <c r="K62" s="171">
        <v>0</v>
      </c>
      <c r="L62" s="171">
        <v>0</v>
      </c>
      <c r="M62" s="171">
        <v>0</v>
      </c>
      <c r="N62" s="171">
        <v>0</v>
      </c>
      <c r="O62" s="171">
        <v>0</v>
      </c>
      <c r="P62" s="171">
        <v>0</v>
      </c>
      <c r="Q62" s="171">
        <v>0</v>
      </c>
      <c r="R62" s="171">
        <v>0</v>
      </c>
      <c r="S62" s="171">
        <v>0</v>
      </c>
      <c r="T62" s="171">
        <v>0</v>
      </c>
      <c r="U62" s="171">
        <v>0</v>
      </c>
      <c r="V62" s="171">
        <v>0</v>
      </c>
      <c r="W62" s="171">
        <v>0</v>
      </c>
      <c r="X62" s="171">
        <v>0</v>
      </c>
      <c r="Y62" s="171">
        <v>0</v>
      </c>
      <c r="Z62" s="171">
        <v>0</v>
      </c>
      <c r="AA62" s="171">
        <v>0</v>
      </c>
      <c r="AB62" s="171">
        <v>0</v>
      </c>
      <c r="AC62" s="171">
        <v>0</v>
      </c>
      <c r="AD62" s="171">
        <v>0</v>
      </c>
      <c r="AE62" s="171">
        <v>0</v>
      </c>
      <c r="AF62" s="171">
        <v>0</v>
      </c>
      <c r="AG62" s="171">
        <v>0</v>
      </c>
      <c r="AH62" s="171">
        <v>0</v>
      </c>
      <c r="AI62" s="171">
        <v>0</v>
      </c>
      <c r="AJ62" s="171">
        <v>0</v>
      </c>
      <c r="AK62" s="171">
        <v>0</v>
      </c>
      <c r="AL62" s="171">
        <v>0</v>
      </c>
      <c r="AM62" s="171">
        <f t="shared" si="65"/>
        <v>0</v>
      </c>
      <c r="AN62" s="171">
        <f t="shared" si="66"/>
        <v>0.01322</v>
      </c>
      <c r="AO62" s="171">
        <f t="shared" si="67"/>
        <v>0</v>
      </c>
      <c r="AP62" s="171">
        <f t="shared" si="68"/>
        <v>0</v>
      </c>
      <c r="AQ62" s="171">
        <f t="shared" si="69"/>
        <v>0</v>
      </c>
      <c r="AR62" s="171">
        <f t="shared" si="70"/>
        <v>0</v>
      </c>
      <c r="AS62" s="171">
        <f t="shared" si="71"/>
        <v>0</v>
      </c>
      <c r="AT62" s="171">
        <v>0</v>
      </c>
      <c r="AU62" s="171">
        <v>0</v>
      </c>
      <c r="AV62" s="171">
        <v>0</v>
      </c>
      <c r="AW62" s="171">
        <v>0</v>
      </c>
      <c r="AX62" s="171">
        <v>0</v>
      </c>
      <c r="AY62" s="171">
        <v>0</v>
      </c>
      <c r="AZ62" s="171">
        <v>0</v>
      </c>
      <c r="BA62" s="171">
        <v>0</v>
      </c>
      <c r="BB62" s="285">
        <v>0</v>
      </c>
      <c r="BC62" s="285">
        <v>0</v>
      </c>
      <c r="BD62" s="285">
        <v>0</v>
      </c>
      <c r="BE62" s="285">
        <v>0</v>
      </c>
      <c r="BF62" s="285">
        <v>0</v>
      </c>
      <c r="BG62" s="285">
        <v>0</v>
      </c>
      <c r="BH62" s="285">
        <v>0</v>
      </c>
      <c r="BI62" s="285">
        <f>13.22/1000</f>
        <v>0.01322</v>
      </c>
      <c r="BJ62" s="285">
        <v>0</v>
      </c>
      <c r="BK62" s="285">
        <v>0</v>
      </c>
      <c r="BL62" s="285">
        <v>0</v>
      </c>
      <c r="BM62" s="285">
        <v>0</v>
      </c>
      <c r="BN62" s="285">
        <v>0</v>
      </c>
      <c r="BO62" s="285">
        <v>0</v>
      </c>
      <c r="BP62" s="285">
        <v>0</v>
      </c>
      <c r="BQ62" s="171">
        <v>0</v>
      </c>
      <c r="BR62" s="171">
        <v>0</v>
      </c>
      <c r="BS62" s="171">
        <v>0</v>
      </c>
      <c r="BT62" s="171">
        <v>0</v>
      </c>
      <c r="BU62" s="171">
        <v>0</v>
      </c>
      <c r="BV62" s="171">
        <v>0</v>
      </c>
      <c r="BW62" s="210"/>
      <c r="BX62" s="171">
        <v>0</v>
      </c>
      <c r="BY62" s="171"/>
      <c r="BZ62" s="211"/>
    </row>
    <row r="63" spans="1:78" s="165" customFormat="1" ht="37.5" customHeight="1">
      <c r="A63" s="49"/>
      <c r="B63" s="236" t="s">
        <v>115</v>
      </c>
      <c r="C63" s="268"/>
      <c r="D63" s="171">
        <f t="shared" si="58"/>
        <v>0</v>
      </c>
      <c r="E63" s="171">
        <f t="shared" si="59"/>
        <v>0</v>
      </c>
      <c r="F63" s="171">
        <f t="shared" si="60"/>
        <v>0</v>
      </c>
      <c r="G63" s="171">
        <f t="shared" si="61"/>
        <v>0</v>
      </c>
      <c r="H63" s="171">
        <f t="shared" si="62"/>
        <v>0</v>
      </c>
      <c r="I63" s="171">
        <f t="shared" si="63"/>
        <v>0</v>
      </c>
      <c r="J63" s="171">
        <f t="shared" si="64"/>
        <v>0</v>
      </c>
      <c r="K63" s="171">
        <v>0</v>
      </c>
      <c r="L63" s="171">
        <v>0</v>
      </c>
      <c r="M63" s="171">
        <v>0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0</v>
      </c>
      <c r="V63" s="171">
        <v>0</v>
      </c>
      <c r="W63" s="171">
        <v>0</v>
      </c>
      <c r="X63" s="171">
        <v>0</v>
      </c>
      <c r="Y63" s="171">
        <v>0</v>
      </c>
      <c r="Z63" s="171">
        <v>0</v>
      </c>
      <c r="AA63" s="171">
        <v>0</v>
      </c>
      <c r="AB63" s="171">
        <v>0</v>
      </c>
      <c r="AC63" s="171">
        <v>0</v>
      </c>
      <c r="AD63" s="171">
        <v>0</v>
      </c>
      <c r="AE63" s="171">
        <v>0</v>
      </c>
      <c r="AF63" s="171">
        <v>0</v>
      </c>
      <c r="AG63" s="171">
        <v>0</v>
      </c>
      <c r="AH63" s="171">
        <v>0</v>
      </c>
      <c r="AI63" s="171">
        <v>0</v>
      </c>
      <c r="AJ63" s="171">
        <v>0</v>
      </c>
      <c r="AK63" s="171">
        <v>0</v>
      </c>
      <c r="AL63" s="171">
        <v>0</v>
      </c>
      <c r="AM63" s="171">
        <f t="shared" si="65"/>
        <v>0</v>
      </c>
      <c r="AN63" s="171">
        <f t="shared" si="66"/>
        <v>0.003155</v>
      </c>
      <c r="AO63" s="171">
        <f t="shared" si="67"/>
        <v>0</v>
      </c>
      <c r="AP63" s="171">
        <f t="shared" si="68"/>
        <v>0</v>
      </c>
      <c r="AQ63" s="171">
        <f t="shared" si="69"/>
        <v>0</v>
      </c>
      <c r="AR63" s="171">
        <f t="shared" si="70"/>
        <v>0</v>
      </c>
      <c r="AS63" s="171">
        <f t="shared" si="71"/>
        <v>0</v>
      </c>
      <c r="AT63" s="171">
        <v>0</v>
      </c>
      <c r="AU63" s="171">
        <v>0</v>
      </c>
      <c r="AV63" s="171">
        <v>0</v>
      </c>
      <c r="AW63" s="171">
        <v>0</v>
      </c>
      <c r="AX63" s="171">
        <v>0</v>
      </c>
      <c r="AY63" s="171">
        <v>0</v>
      </c>
      <c r="AZ63" s="171">
        <v>0</v>
      </c>
      <c r="BA63" s="171">
        <v>0</v>
      </c>
      <c r="BB63" s="285">
        <v>0</v>
      </c>
      <c r="BC63" s="285">
        <v>0</v>
      </c>
      <c r="BD63" s="285">
        <v>0</v>
      </c>
      <c r="BE63" s="285">
        <v>0</v>
      </c>
      <c r="BF63" s="285">
        <v>0</v>
      </c>
      <c r="BG63" s="285">
        <v>0</v>
      </c>
      <c r="BH63" s="285">
        <v>0</v>
      </c>
      <c r="BI63" s="285">
        <f>3.155/1000</f>
        <v>0.003155</v>
      </c>
      <c r="BJ63" s="285">
        <v>0</v>
      </c>
      <c r="BK63" s="285">
        <v>0</v>
      </c>
      <c r="BL63" s="285">
        <v>0</v>
      </c>
      <c r="BM63" s="285">
        <v>0</v>
      </c>
      <c r="BN63" s="285">
        <v>0</v>
      </c>
      <c r="BO63" s="285">
        <v>0</v>
      </c>
      <c r="BP63" s="285">
        <v>0</v>
      </c>
      <c r="BQ63" s="171">
        <v>0</v>
      </c>
      <c r="BR63" s="171">
        <v>0</v>
      </c>
      <c r="BS63" s="171">
        <v>0</v>
      </c>
      <c r="BT63" s="171">
        <v>0</v>
      </c>
      <c r="BU63" s="171">
        <v>0</v>
      </c>
      <c r="BV63" s="171">
        <v>0</v>
      </c>
      <c r="BW63" s="210"/>
      <c r="BX63" s="171">
        <v>0</v>
      </c>
      <c r="BY63" s="171"/>
      <c r="BZ63" s="211"/>
    </row>
    <row r="64" spans="1:78" s="165" customFormat="1" ht="36" customHeight="1">
      <c r="A64" s="49"/>
      <c r="B64" s="236" t="s">
        <v>117</v>
      </c>
      <c r="C64" s="268"/>
      <c r="D64" s="171">
        <f t="shared" si="58"/>
        <v>0</v>
      </c>
      <c r="E64" s="171">
        <f t="shared" si="59"/>
        <v>0</v>
      </c>
      <c r="F64" s="171">
        <f t="shared" si="60"/>
        <v>0</v>
      </c>
      <c r="G64" s="171">
        <f t="shared" si="61"/>
        <v>0</v>
      </c>
      <c r="H64" s="171">
        <f t="shared" si="62"/>
        <v>0</v>
      </c>
      <c r="I64" s="171">
        <f t="shared" si="63"/>
        <v>0</v>
      </c>
      <c r="J64" s="171">
        <f t="shared" si="64"/>
        <v>0</v>
      </c>
      <c r="K64" s="171">
        <v>0</v>
      </c>
      <c r="L64" s="171">
        <v>0</v>
      </c>
      <c r="M64" s="171">
        <v>0</v>
      </c>
      <c r="N64" s="171">
        <v>0</v>
      </c>
      <c r="O64" s="171">
        <v>0</v>
      </c>
      <c r="P64" s="171">
        <v>0</v>
      </c>
      <c r="Q64" s="171">
        <v>0</v>
      </c>
      <c r="R64" s="171">
        <v>0</v>
      </c>
      <c r="S64" s="171">
        <v>0</v>
      </c>
      <c r="T64" s="171">
        <v>0</v>
      </c>
      <c r="U64" s="171">
        <v>0</v>
      </c>
      <c r="V64" s="171">
        <v>0</v>
      </c>
      <c r="W64" s="171">
        <v>0</v>
      </c>
      <c r="X64" s="171">
        <v>0</v>
      </c>
      <c r="Y64" s="171">
        <v>0</v>
      </c>
      <c r="Z64" s="171">
        <v>0</v>
      </c>
      <c r="AA64" s="171">
        <v>0</v>
      </c>
      <c r="AB64" s="171">
        <v>0</v>
      </c>
      <c r="AC64" s="171">
        <v>0</v>
      </c>
      <c r="AD64" s="171">
        <v>0</v>
      </c>
      <c r="AE64" s="171">
        <v>0</v>
      </c>
      <c r="AF64" s="171">
        <v>0</v>
      </c>
      <c r="AG64" s="171">
        <v>0</v>
      </c>
      <c r="AH64" s="171">
        <v>0</v>
      </c>
      <c r="AI64" s="171">
        <v>0</v>
      </c>
      <c r="AJ64" s="171">
        <v>0</v>
      </c>
      <c r="AK64" s="171">
        <v>0</v>
      </c>
      <c r="AL64" s="171">
        <v>0</v>
      </c>
      <c r="AM64" s="171">
        <f t="shared" si="65"/>
        <v>0</v>
      </c>
      <c r="AN64" s="171">
        <f t="shared" si="66"/>
        <v>0.003155</v>
      </c>
      <c r="AO64" s="171">
        <f t="shared" si="67"/>
        <v>0</v>
      </c>
      <c r="AP64" s="171">
        <f t="shared" si="68"/>
        <v>0</v>
      </c>
      <c r="AQ64" s="171">
        <f t="shared" si="69"/>
        <v>0</v>
      </c>
      <c r="AR64" s="171">
        <f t="shared" si="70"/>
        <v>0</v>
      </c>
      <c r="AS64" s="171">
        <f t="shared" si="71"/>
        <v>0</v>
      </c>
      <c r="AT64" s="171">
        <v>0</v>
      </c>
      <c r="AU64" s="171">
        <v>0</v>
      </c>
      <c r="AV64" s="171">
        <v>0</v>
      </c>
      <c r="AW64" s="171">
        <v>0</v>
      </c>
      <c r="AX64" s="171">
        <v>0</v>
      </c>
      <c r="AY64" s="171">
        <v>0</v>
      </c>
      <c r="AZ64" s="171">
        <v>0</v>
      </c>
      <c r="BA64" s="171">
        <v>0</v>
      </c>
      <c r="BB64" s="285">
        <v>0</v>
      </c>
      <c r="BC64" s="285">
        <v>0</v>
      </c>
      <c r="BD64" s="285">
        <v>0</v>
      </c>
      <c r="BE64" s="285">
        <v>0</v>
      </c>
      <c r="BF64" s="285">
        <v>0</v>
      </c>
      <c r="BG64" s="285">
        <v>0</v>
      </c>
      <c r="BH64" s="285">
        <v>0</v>
      </c>
      <c r="BI64" s="285">
        <f>3.155/1000</f>
        <v>0.003155</v>
      </c>
      <c r="BJ64" s="285">
        <v>0</v>
      </c>
      <c r="BK64" s="285">
        <v>0</v>
      </c>
      <c r="BL64" s="285">
        <v>0</v>
      </c>
      <c r="BM64" s="285">
        <v>0</v>
      </c>
      <c r="BN64" s="285">
        <v>0</v>
      </c>
      <c r="BO64" s="285">
        <v>0</v>
      </c>
      <c r="BP64" s="285">
        <v>0</v>
      </c>
      <c r="BQ64" s="171">
        <v>0</v>
      </c>
      <c r="BR64" s="171">
        <v>0</v>
      </c>
      <c r="BS64" s="171">
        <v>0</v>
      </c>
      <c r="BT64" s="171">
        <v>0</v>
      </c>
      <c r="BU64" s="171">
        <v>0</v>
      </c>
      <c r="BV64" s="171">
        <v>0</v>
      </c>
      <c r="BW64" s="210"/>
      <c r="BX64" s="171">
        <v>0</v>
      </c>
      <c r="BY64" s="171"/>
      <c r="BZ64" s="211"/>
    </row>
    <row r="65" spans="1:78" s="165" customFormat="1" ht="31.5" customHeight="1">
      <c r="A65" s="49"/>
      <c r="B65" s="236" t="s">
        <v>119</v>
      </c>
      <c r="C65" s="268"/>
      <c r="D65" s="171">
        <f t="shared" si="58"/>
        <v>0</v>
      </c>
      <c r="E65" s="171">
        <f t="shared" si="59"/>
        <v>0</v>
      </c>
      <c r="F65" s="171">
        <f t="shared" si="60"/>
        <v>0</v>
      </c>
      <c r="G65" s="171">
        <f t="shared" si="61"/>
        <v>0</v>
      </c>
      <c r="H65" s="171">
        <f t="shared" si="62"/>
        <v>0</v>
      </c>
      <c r="I65" s="171">
        <f t="shared" si="63"/>
        <v>0</v>
      </c>
      <c r="J65" s="171">
        <f t="shared" si="64"/>
        <v>0</v>
      </c>
      <c r="K65" s="171">
        <v>0</v>
      </c>
      <c r="L65" s="171">
        <v>0</v>
      </c>
      <c r="M65" s="171">
        <v>0</v>
      </c>
      <c r="N65" s="171">
        <v>0</v>
      </c>
      <c r="O65" s="171">
        <v>0</v>
      </c>
      <c r="P65" s="171">
        <v>0</v>
      </c>
      <c r="Q65" s="171">
        <v>0</v>
      </c>
      <c r="R65" s="171">
        <v>0</v>
      </c>
      <c r="S65" s="171">
        <v>0</v>
      </c>
      <c r="T65" s="171">
        <v>0</v>
      </c>
      <c r="U65" s="171">
        <v>0</v>
      </c>
      <c r="V65" s="171">
        <v>0</v>
      </c>
      <c r="W65" s="171">
        <v>0</v>
      </c>
      <c r="X65" s="171">
        <v>0</v>
      </c>
      <c r="Y65" s="171">
        <v>0</v>
      </c>
      <c r="Z65" s="171">
        <v>0</v>
      </c>
      <c r="AA65" s="171">
        <v>0</v>
      </c>
      <c r="AB65" s="171">
        <v>0</v>
      </c>
      <c r="AC65" s="171">
        <v>0</v>
      </c>
      <c r="AD65" s="171">
        <v>0</v>
      </c>
      <c r="AE65" s="171">
        <v>0</v>
      </c>
      <c r="AF65" s="171">
        <v>0</v>
      </c>
      <c r="AG65" s="171">
        <v>0</v>
      </c>
      <c r="AH65" s="171">
        <v>0</v>
      </c>
      <c r="AI65" s="171">
        <v>0</v>
      </c>
      <c r="AJ65" s="171">
        <v>0</v>
      </c>
      <c r="AK65" s="171">
        <v>0</v>
      </c>
      <c r="AL65" s="171">
        <v>0</v>
      </c>
      <c r="AM65" s="171">
        <f t="shared" si="65"/>
        <v>0</v>
      </c>
      <c r="AN65" s="171">
        <f t="shared" si="66"/>
        <v>0.00658</v>
      </c>
      <c r="AO65" s="171">
        <f t="shared" si="67"/>
        <v>0</v>
      </c>
      <c r="AP65" s="171">
        <f t="shared" si="68"/>
        <v>0</v>
      </c>
      <c r="AQ65" s="171">
        <f t="shared" si="69"/>
        <v>0</v>
      </c>
      <c r="AR65" s="171">
        <f t="shared" si="70"/>
        <v>0</v>
      </c>
      <c r="AS65" s="171">
        <f t="shared" si="71"/>
        <v>0</v>
      </c>
      <c r="AT65" s="171">
        <v>0</v>
      </c>
      <c r="AU65" s="171">
        <v>0</v>
      </c>
      <c r="AV65" s="171">
        <v>0</v>
      </c>
      <c r="AW65" s="171">
        <v>0</v>
      </c>
      <c r="AX65" s="171">
        <v>0</v>
      </c>
      <c r="AY65" s="171">
        <v>0</v>
      </c>
      <c r="AZ65" s="171">
        <v>0</v>
      </c>
      <c r="BA65" s="171">
        <v>0</v>
      </c>
      <c r="BB65" s="285">
        <v>0</v>
      </c>
      <c r="BC65" s="285">
        <v>0</v>
      </c>
      <c r="BD65" s="285">
        <v>0</v>
      </c>
      <c r="BE65" s="285">
        <v>0</v>
      </c>
      <c r="BF65" s="285">
        <v>0</v>
      </c>
      <c r="BG65" s="285">
        <v>0</v>
      </c>
      <c r="BH65" s="285">
        <v>0</v>
      </c>
      <c r="BI65" s="285">
        <f>6.58/1000</f>
        <v>0.00658</v>
      </c>
      <c r="BJ65" s="285">
        <v>0</v>
      </c>
      <c r="BK65" s="285">
        <v>0</v>
      </c>
      <c r="BL65" s="285">
        <v>0</v>
      </c>
      <c r="BM65" s="285">
        <v>0</v>
      </c>
      <c r="BN65" s="285">
        <v>0</v>
      </c>
      <c r="BO65" s="285">
        <v>0</v>
      </c>
      <c r="BP65" s="285">
        <v>0</v>
      </c>
      <c r="BQ65" s="171">
        <v>0</v>
      </c>
      <c r="BR65" s="171">
        <v>0</v>
      </c>
      <c r="BS65" s="171">
        <v>0</v>
      </c>
      <c r="BT65" s="171">
        <v>0</v>
      </c>
      <c r="BU65" s="171">
        <v>0</v>
      </c>
      <c r="BV65" s="171">
        <v>0</v>
      </c>
      <c r="BW65" s="210"/>
      <c r="BX65" s="171">
        <v>0</v>
      </c>
      <c r="BY65" s="171"/>
      <c r="BZ65" s="211"/>
    </row>
    <row r="66" spans="1:78" s="165" customFormat="1" ht="31.5" customHeight="1">
      <c r="A66" s="49"/>
      <c r="B66" s="236" t="s">
        <v>121</v>
      </c>
      <c r="C66" s="268"/>
      <c r="D66" s="171">
        <f t="shared" si="58"/>
        <v>0</v>
      </c>
      <c r="E66" s="171">
        <f t="shared" si="59"/>
        <v>0</v>
      </c>
      <c r="F66" s="171">
        <f t="shared" si="60"/>
        <v>0</v>
      </c>
      <c r="G66" s="171">
        <f t="shared" si="61"/>
        <v>0</v>
      </c>
      <c r="H66" s="171">
        <f t="shared" si="62"/>
        <v>0</v>
      </c>
      <c r="I66" s="171">
        <f t="shared" si="63"/>
        <v>0</v>
      </c>
      <c r="J66" s="171">
        <f t="shared" si="64"/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71">
        <v>0</v>
      </c>
      <c r="R66" s="171">
        <v>0</v>
      </c>
      <c r="S66" s="171">
        <v>0</v>
      </c>
      <c r="T66" s="171">
        <v>0</v>
      </c>
      <c r="U66" s="171">
        <v>0</v>
      </c>
      <c r="V66" s="171">
        <v>0</v>
      </c>
      <c r="W66" s="171">
        <v>0</v>
      </c>
      <c r="X66" s="171">
        <v>0</v>
      </c>
      <c r="Y66" s="171">
        <v>0</v>
      </c>
      <c r="Z66" s="171">
        <v>0</v>
      </c>
      <c r="AA66" s="171">
        <v>0</v>
      </c>
      <c r="AB66" s="171">
        <v>0</v>
      </c>
      <c r="AC66" s="171">
        <v>0</v>
      </c>
      <c r="AD66" s="171">
        <v>0</v>
      </c>
      <c r="AE66" s="171">
        <v>0</v>
      </c>
      <c r="AF66" s="171">
        <v>0</v>
      </c>
      <c r="AG66" s="171">
        <v>0</v>
      </c>
      <c r="AH66" s="171">
        <v>0</v>
      </c>
      <c r="AI66" s="171">
        <v>0</v>
      </c>
      <c r="AJ66" s="171">
        <v>0</v>
      </c>
      <c r="AK66" s="171">
        <v>0</v>
      </c>
      <c r="AL66" s="171">
        <v>0</v>
      </c>
      <c r="AM66" s="171">
        <f t="shared" si="65"/>
        <v>0</v>
      </c>
      <c r="AN66" s="171">
        <f t="shared" si="66"/>
        <v>0.01316</v>
      </c>
      <c r="AO66" s="171">
        <f t="shared" si="67"/>
        <v>0</v>
      </c>
      <c r="AP66" s="171">
        <f t="shared" si="68"/>
        <v>0</v>
      </c>
      <c r="AQ66" s="171">
        <f t="shared" si="69"/>
        <v>0</v>
      </c>
      <c r="AR66" s="171">
        <f t="shared" si="70"/>
        <v>0</v>
      </c>
      <c r="AS66" s="171">
        <f t="shared" si="71"/>
        <v>0</v>
      </c>
      <c r="AT66" s="171">
        <v>0</v>
      </c>
      <c r="AU66" s="171">
        <v>0</v>
      </c>
      <c r="AV66" s="171">
        <v>0</v>
      </c>
      <c r="AW66" s="171">
        <v>0</v>
      </c>
      <c r="AX66" s="171">
        <v>0</v>
      </c>
      <c r="AY66" s="171">
        <v>0</v>
      </c>
      <c r="AZ66" s="171">
        <v>0</v>
      </c>
      <c r="BA66" s="171">
        <v>0</v>
      </c>
      <c r="BB66" s="285">
        <v>0</v>
      </c>
      <c r="BC66" s="285">
        <v>0</v>
      </c>
      <c r="BD66" s="285">
        <v>0</v>
      </c>
      <c r="BE66" s="285">
        <v>0</v>
      </c>
      <c r="BF66" s="285">
        <v>0</v>
      </c>
      <c r="BG66" s="285">
        <v>0</v>
      </c>
      <c r="BH66" s="285">
        <v>0</v>
      </c>
      <c r="BI66" s="285">
        <f>13.16/1000</f>
        <v>0.01316</v>
      </c>
      <c r="BJ66" s="285">
        <v>0</v>
      </c>
      <c r="BK66" s="285">
        <v>0</v>
      </c>
      <c r="BL66" s="285">
        <v>0</v>
      </c>
      <c r="BM66" s="285">
        <v>0</v>
      </c>
      <c r="BN66" s="285">
        <v>0</v>
      </c>
      <c r="BO66" s="285">
        <v>0</v>
      </c>
      <c r="BP66" s="285">
        <v>0</v>
      </c>
      <c r="BQ66" s="171">
        <v>0</v>
      </c>
      <c r="BR66" s="171">
        <v>0</v>
      </c>
      <c r="BS66" s="171">
        <v>0</v>
      </c>
      <c r="BT66" s="171">
        <v>0</v>
      </c>
      <c r="BU66" s="171">
        <v>0</v>
      </c>
      <c r="BV66" s="171">
        <v>0</v>
      </c>
      <c r="BW66" s="210"/>
      <c r="BX66" s="171">
        <v>0</v>
      </c>
      <c r="BY66" s="171"/>
      <c r="BZ66" s="211"/>
    </row>
    <row r="67" spans="1:78" s="165" customFormat="1" ht="31.5">
      <c r="A67" s="49"/>
      <c r="B67" s="236" t="s">
        <v>123</v>
      </c>
      <c r="C67" s="268"/>
      <c r="D67" s="171">
        <f t="shared" si="58"/>
        <v>0</v>
      </c>
      <c r="E67" s="171">
        <f t="shared" si="59"/>
        <v>0</v>
      </c>
      <c r="F67" s="171">
        <f t="shared" si="60"/>
        <v>0</v>
      </c>
      <c r="G67" s="171">
        <f t="shared" si="61"/>
        <v>0</v>
      </c>
      <c r="H67" s="171">
        <f t="shared" si="62"/>
        <v>0</v>
      </c>
      <c r="I67" s="171">
        <f t="shared" si="63"/>
        <v>0</v>
      </c>
      <c r="J67" s="171">
        <f t="shared" si="64"/>
        <v>0</v>
      </c>
      <c r="K67" s="171">
        <v>0</v>
      </c>
      <c r="L67" s="171">
        <v>0</v>
      </c>
      <c r="M67" s="171">
        <v>0</v>
      </c>
      <c r="N67" s="171">
        <v>0</v>
      </c>
      <c r="O67" s="171">
        <v>0</v>
      </c>
      <c r="P67" s="171">
        <v>0</v>
      </c>
      <c r="Q67" s="171">
        <v>0</v>
      </c>
      <c r="R67" s="171">
        <v>0</v>
      </c>
      <c r="S67" s="171">
        <v>0</v>
      </c>
      <c r="T67" s="171">
        <v>0</v>
      </c>
      <c r="U67" s="171">
        <v>0</v>
      </c>
      <c r="V67" s="171">
        <v>0</v>
      </c>
      <c r="W67" s="171">
        <v>0</v>
      </c>
      <c r="X67" s="171">
        <v>0</v>
      </c>
      <c r="Y67" s="171">
        <v>0</v>
      </c>
      <c r="Z67" s="171">
        <v>0</v>
      </c>
      <c r="AA67" s="171">
        <v>0</v>
      </c>
      <c r="AB67" s="171">
        <v>0</v>
      </c>
      <c r="AC67" s="171">
        <v>0</v>
      </c>
      <c r="AD67" s="171">
        <v>0</v>
      </c>
      <c r="AE67" s="171">
        <v>0</v>
      </c>
      <c r="AF67" s="171">
        <v>0</v>
      </c>
      <c r="AG67" s="171">
        <v>0</v>
      </c>
      <c r="AH67" s="171">
        <v>0</v>
      </c>
      <c r="AI67" s="171">
        <v>0</v>
      </c>
      <c r="AJ67" s="171">
        <v>0</v>
      </c>
      <c r="AK67" s="171">
        <v>0</v>
      </c>
      <c r="AL67" s="171">
        <v>0</v>
      </c>
      <c r="AM67" s="171">
        <f t="shared" si="65"/>
        <v>0</v>
      </c>
      <c r="AN67" s="171">
        <f t="shared" si="66"/>
        <v>0.01316</v>
      </c>
      <c r="AO67" s="171">
        <f t="shared" si="67"/>
        <v>0</v>
      </c>
      <c r="AP67" s="171">
        <f t="shared" si="68"/>
        <v>0</v>
      </c>
      <c r="AQ67" s="171">
        <f t="shared" si="69"/>
        <v>0</v>
      </c>
      <c r="AR67" s="171">
        <f t="shared" si="70"/>
        <v>0</v>
      </c>
      <c r="AS67" s="171">
        <f t="shared" si="71"/>
        <v>0</v>
      </c>
      <c r="AT67" s="171">
        <v>0</v>
      </c>
      <c r="AU67" s="171">
        <v>0</v>
      </c>
      <c r="AV67" s="171">
        <v>0</v>
      </c>
      <c r="AW67" s="171">
        <v>0</v>
      </c>
      <c r="AX67" s="171">
        <v>0</v>
      </c>
      <c r="AY67" s="171">
        <v>0</v>
      </c>
      <c r="AZ67" s="171">
        <v>0</v>
      </c>
      <c r="BA67" s="171">
        <v>0</v>
      </c>
      <c r="BB67" s="285">
        <v>0</v>
      </c>
      <c r="BC67" s="285">
        <v>0</v>
      </c>
      <c r="BD67" s="285">
        <v>0</v>
      </c>
      <c r="BE67" s="285">
        <v>0</v>
      </c>
      <c r="BF67" s="285">
        <v>0</v>
      </c>
      <c r="BG67" s="285">
        <v>0</v>
      </c>
      <c r="BH67" s="285">
        <v>0</v>
      </c>
      <c r="BI67" s="285">
        <f>13.16/1000</f>
        <v>0.01316</v>
      </c>
      <c r="BJ67" s="285">
        <v>0</v>
      </c>
      <c r="BK67" s="285">
        <v>0</v>
      </c>
      <c r="BL67" s="285">
        <v>0</v>
      </c>
      <c r="BM67" s="285">
        <v>0</v>
      </c>
      <c r="BN67" s="285">
        <v>0</v>
      </c>
      <c r="BO67" s="285">
        <v>0</v>
      </c>
      <c r="BP67" s="285">
        <v>0</v>
      </c>
      <c r="BQ67" s="171">
        <v>0</v>
      </c>
      <c r="BR67" s="171">
        <v>0</v>
      </c>
      <c r="BS67" s="171">
        <v>0</v>
      </c>
      <c r="BT67" s="171">
        <v>0</v>
      </c>
      <c r="BU67" s="171">
        <v>0</v>
      </c>
      <c r="BV67" s="171">
        <v>0</v>
      </c>
      <c r="BW67" s="210"/>
      <c r="BX67" s="171">
        <v>0</v>
      </c>
      <c r="BY67" s="171"/>
      <c r="BZ67" s="211"/>
    </row>
    <row r="68" spans="1:78" s="165" customFormat="1" ht="18.75">
      <c r="A68" s="65" t="s">
        <v>124</v>
      </c>
      <c r="B68" s="230" t="s">
        <v>125</v>
      </c>
      <c r="C68" s="138">
        <f aca="true" t="shared" si="72" ref="C68:AM68">SUM(C69:C72)</f>
        <v>0</v>
      </c>
      <c r="D68" s="214">
        <f t="shared" si="72"/>
        <v>0</v>
      </c>
      <c r="E68" s="214">
        <f t="shared" si="72"/>
        <v>5.982623271999992</v>
      </c>
      <c r="F68" s="214">
        <f t="shared" si="72"/>
        <v>0</v>
      </c>
      <c r="G68" s="214">
        <f t="shared" si="72"/>
        <v>0</v>
      </c>
      <c r="H68" s="214">
        <f t="shared" si="72"/>
        <v>0</v>
      </c>
      <c r="I68" s="214">
        <f t="shared" si="72"/>
        <v>0</v>
      </c>
      <c r="J68" s="214">
        <f t="shared" si="72"/>
        <v>0</v>
      </c>
      <c r="K68" s="214">
        <f t="shared" si="72"/>
        <v>0</v>
      </c>
      <c r="L68" s="214">
        <f t="shared" si="72"/>
        <v>0</v>
      </c>
      <c r="M68" s="214">
        <f t="shared" si="72"/>
        <v>0</v>
      </c>
      <c r="N68" s="214">
        <f t="shared" si="72"/>
        <v>0</v>
      </c>
      <c r="O68" s="214">
        <f t="shared" si="72"/>
        <v>0</v>
      </c>
      <c r="P68" s="214">
        <f t="shared" si="72"/>
        <v>0</v>
      </c>
      <c r="Q68" s="214">
        <f t="shared" si="72"/>
        <v>0</v>
      </c>
      <c r="R68" s="214">
        <f t="shared" si="72"/>
        <v>0</v>
      </c>
      <c r="S68" s="214">
        <f t="shared" si="72"/>
        <v>0</v>
      </c>
      <c r="T68" s="214">
        <f t="shared" si="72"/>
        <v>0</v>
      </c>
      <c r="U68" s="214">
        <f t="shared" si="72"/>
        <v>0</v>
      </c>
      <c r="V68" s="214">
        <f t="shared" si="72"/>
        <v>0</v>
      </c>
      <c r="W68" s="214">
        <f t="shared" si="72"/>
        <v>0</v>
      </c>
      <c r="X68" s="214">
        <f t="shared" si="72"/>
        <v>0</v>
      </c>
      <c r="Y68" s="214">
        <f t="shared" si="72"/>
        <v>0</v>
      </c>
      <c r="Z68" s="214">
        <f t="shared" si="72"/>
        <v>0</v>
      </c>
      <c r="AA68" s="214">
        <f t="shared" si="72"/>
        <v>0</v>
      </c>
      <c r="AB68" s="214">
        <f t="shared" si="72"/>
        <v>0</v>
      </c>
      <c r="AC68" s="214">
        <f t="shared" si="72"/>
        <v>0</v>
      </c>
      <c r="AD68" s="214">
        <f t="shared" si="72"/>
        <v>0</v>
      </c>
      <c r="AE68" s="214">
        <f t="shared" si="72"/>
        <v>0</v>
      </c>
      <c r="AF68" s="214">
        <f t="shared" si="72"/>
        <v>0</v>
      </c>
      <c r="AG68" s="214">
        <f t="shared" si="72"/>
        <v>5.982623271999992</v>
      </c>
      <c r="AH68" s="214">
        <f t="shared" si="72"/>
        <v>0</v>
      </c>
      <c r="AI68" s="214">
        <f t="shared" si="72"/>
        <v>0</v>
      </c>
      <c r="AJ68" s="214">
        <f t="shared" si="72"/>
        <v>0</v>
      </c>
      <c r="AK68" s="214">
        <f t="shared" si="72"/>
        <v>0</v>
      </c>
      <c r="AL68" s="214">
        <f t="shared" si="72"/>
        <v>0</v>
      </c>
      <c r="AM68" s="214">
        <f t="shared" si="72"/>
        <v>0</v>
      </c>
      <c r="AN68" s="214">
        <f aca="true" t="shared" si="73" ref="AN68:AS68">SUM(AN69:AN76)</f>
        <v>14.190141268983052</v>
      </c>
      <c r="AO68" s="214">
        <f t="shared" si="73"/>
        <v>6.72</v>
      </c>
      <c r="AP68" s="214">
        <f t="shared" si="73"/>
        <v>0</v>
      </c>
      <c r="AQ68" s="214">
        <f t="shared" si="73"/>
        <v>10.62</v>
      </c>
      <c r="AR68" s="214">
        <f t="shared" si="73"/>
        <v>0</v>
      </c>
      <c r="AS68" s="214">
        <f t="shared" si="73"/>
        <v>0</v>
      </c>
      <c r="AT68" s="214">
        <f>SUM(AT69:AT72)</f>
        <v>0</v>
      </c>
      <c r="AU68" s="176">
        <f aca="true" t="shared" si="74" ref="AU68:AZ68">SUM(AU69:AU76)</f>
        <v>0.006223220000000001</v>
      </c>
      <c r="AV68" s="176">
        <f t="shared" si="74"/>
        <v>0</v>
      </c>
      <c r="AW68" s="176">
        <f t="shared" si="74"/>
        <v>0</v>
      </c>
      <c r="AX68" s="176">
        <f t="shared" si="74"/>
        <v>0</v>
      </c>
      <c r="AY68" s="176">
        <f t="shared" si="74"/>
        <v>0</v>
      </c>
      <c r="AZ68" s="176">
        <f t="shared" si="74"/>
        <v>0</v>
      </c>
      <c r="BA68" s="214">
        <f aca="true" t="shared" si="75" ref="BA68:BH68">SUM(BA69:BA72)</f>
        <v>0</v>
      </c>
      <c r="BB68" s="284">
        <f t="shared" si="75"/>
        <v>0.97255812</v>
      </c>
      <c r="BC68" s="284">
        <f t="shared" si="75"/>
        <v>0.85</v>
      </c>
      <c r="BD68" s="284">
        <f t="shared" si="75"/>
        <v>0</v>
      </c>
      <c r="BE68" s="284">
        <f t="shared" si="75"/>
        <v>0</v>
      </c>
      <c r="BF68" s="284">
        <f t="shared" si="75"/>
        <v>0</v>
      </c>
      <c r="BG68" s="284">
        <f t="shared" si="75"/>
        <v>0</v>
      </c>
      <c r="BH68" s="286">
        <f t="shared" si="75"/>
        <v>0</v>
      </c>
      <c r="BI68" s="286">
        <f>SUM(BI69:BI76)</f>
        <v>4.0724339</v>
      </c>
      <c r="BJ68" s="286">
        <f aca="true" t="shared" si="76" ref="BJ68:BO68">SUM(BJ69:BJ72)</f>
        <v>4.84</v>
      </c>
      <c r="BK68" s="286">
        <f t="shared" si="76"/>
        <v>0</v>
      </c>
      <c r="BL68" s="286">
        <f t="shared" si="76"/>
        <v>10.62</v>
      </c>
      <c r="BM68" s="286">
        <f t="shared" si="76"/>
        <v>0</v>
      </c>
      <c r="BN68" s="286">
        <f t="shared" si="76"/>
        <v>0</v>
      </c>
      <c r="BO68" s="284">
        <f t="shared" si="76"/>
        <v>0</v>
      </c>
      <c r="BP68" s="284">
        <f aca="true" t="shared" si="77" ref="BP68:BU68">SUM(BP69:BP76)</f>
        <v>9.13892602898305</v>
      </c>
      <c r="BQ68" s="214">
        <f t="shared" si="77"/>
        <v>1.03</v>
      </c>
      <c r="BR68" s="214">
        <f t="shared" si="77"/>
        <v>0</v>
      </c>
      <c r="BS68" s="214">
        <f t="shared" si="77"/>
        <v>0</v>
      </c>
      <c r="BT68" s="214">
        <f t="shared" si="77"/>
        <v>0</v>
      </c>
      <c r="BU68" s="214">
        <f t="shared" si="77"/>
        <v>0</v>
      </c>
      <c r="BV68" s="214">
        <f aca="true" t="shared" si="78" ref="BV68:BV76">AN68-E68</f>
        <v>8.20751799698306</v>
      </c>
      <c r="BW68" s="216">
        <f>BV68/E68</f>
        <v>1.3718928342682166</v>
      </c>
      <c r="BX68" s="214">
        <f aca="true" t="shared" si="79" ref="BX68:BX76">AM68-D68</f>
        <v>0</v>
      </c>
      <c r="BY68" s="214"/>
      <c r="BZ68" s="29"/>
    </row>
    <row r="69" spans="1:78" s="165" customFormat="1" ht="18.75">
      <c r="A69" s="65" t="s">
        <v>124</v>
      </c>
      <c r="B69" s="228" t="s">
        <v>127</v>
      </c>
      <c r="C69" s="269"/>
      <c r="D69" s="138">
        <f aca="true" t="shared" si="80" ref="D69:D76">K69+R69++Y69+AF69</f>
        <v>0</v>
      </c>
      <c r="E69" s="138">
        <f aca="true" t="shared" si="81" ref="E69:E76">L69+S69++Z69+AG69</f>
        <v>4.2</v>
      </c>
      <c r="F69" s="138">
        <f aca="true" t="shared" si="82" ref="F69:F76">M69+T69++AA69+AH69</f>
        <v>0</v>
      </c>
      <c r="G69" s="138">
        <f aca="true" t="shared" si="83" ref="G69:G76">N69+U69++AB69+AI69</f>
        <v>0</v>
      </c>
      <c r="H69" s="138">
        <f aca="true" t="shared" si="84" ref="H69:H76">O69+V69++AC69+AJ69</f>
        <v>0</v>
      </c>
      <c r="I69" s="138">
        <f aca="true" t="shared" si="85" ref="I69:I76">P69+W69++AD69+AK69</f>
        <v>0</v>
      </c>
      <c r="J69" s="138">
        <f aca="true" t="shared" si="86" ref="J69:J76">Q69+X69++AE69+AL69</f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8">
        <v>0</v>
      </c>
      <c r="T69" s="138">
        <v>0</v>
      </c>
      <c r="U69" s="138">
        <v>0</v>
      </c>
      <c r="V69" s="138">
        <v>0</v>
      </c>
      <c r="W69" s="138">
        <v>0</v>
      </c>
      <c r="X69" s="138">
        <v>0</v>
      </c>
      <c r="Y69" s="138">
        <v>0</v>
      </c>
      <c r="Z69" s="138">
        <v>0</v>
      </c>
      <c r="AA69" s="138">
        <v>0</v>
      </c>
      <c r="AB69" s="138">
        <v>0</v>
      </c>
      <c r="AC69" s="138">
        <v>0</v>
      </c>
      <c r="AD69" s="138">
        <v>0</v>
      </c>
      <c r="AE69" s="138">
        <v>0</v>
      </c>
      <c r="AF69" s="138">
        <v>0</v>
      </c>
      <c r="AG69" s="138">
        <f>4.956/1.18</f>
        <v>4.2</v>
      </c>
      <c r="AH69" s="138">
        <v>0</v>
      </c>
      <c r="AI69" s="138">
        <v>0</v>
      </c>
      <c r="AJ69" s="138">
        <v>0</v>
      </c>
      <c r="AK69" s="138">
        <v>0</v>
      </c>
      <c r="AL69" s="138">
        <v>0</v>
      </c>
      <c r="AM69" s="138">
        <f aca="true" t="shared" si="87" ref="AM69:AM76">AT69+BA69++BH69+BO69</f>
        <v>0</v>
      </c>
      <c r="AN69" s="138">
        <f aca="true" t="shared" si="88" ref="AN69:AN76">AU69+BB69++BI69+BP69</f>
        <v>3.928995528983051</v>
      </c>
      <c r="AO69" s="138">
        <f aca="true" t="shared" si="89" ref="AO69:AO76">AV69+BC69++BJ69+BQ69</f>
        <v>6.72</v>
      </c>
      <c r="AP69" s="138">
        <f aca="true" t="shared" si="90" ref="AP69:AP76">AW69+BD69++BK69+BR69</f>
        <v>0</v>
      </c>
      <c r="AQ69" s="138">
        <f aca="true" t="shared" si="91" ref="AQ69:AQ76">AX69+BE69++BL69+BS69</f>
        <v>0</v>
      </c>
      <c r="AR69" s="138">
        <f aca="true" t="shared" si="92" ref="AR69:AR76">AY69+BF69++BM69+BT69</f>
        <v>0</v>
      </c>
      <c r="AS69" s="138">
        <f aca="true" t="shared" si="93" ref="AS69:AS76">AZ69+BG69++BN69+BU69</f>
        <v>0</v>
      </c>
      <c r="AT69" s="138">
        <v>0</v>
      </c>
      <c r="AU69" s="138">
        <v>0</v>
      </c>
      <c r="AV69" s="138">
        <v>0</v>
      </c>
      <c r="AW69" s="138">
        <v>0</v>
      </c>
      <c r="AX69" s="138">
        <v>0</v>
      </c>
      <c r="AY69" s="138">
        <v>0</v>
      </c>
      <c r="AZ69" s="138">
        <v>0</v>
      </c>
      <c r="BA69" s="138">
        <v>0</v>
      </c>
      <c r="BB69" s="295">
        <f>972558.12/1000000</f>
        <v>0.97255812</v>
      </c>
      <c r="BC69" s="285">
        <v>0.85</v>
      </c>
      <c r="BD69" s="295">
        <v>0</v>
      </c>
      <c r="BE69" s="295">
        <v>0</v>
      </c>
      <c r="BF69" s="295">
        <v>0</v>
      </c>
      <c r="BG69" s="295">
        <v>0</v>
      </c>
      <c r="BH69" s="285">
        <v>0</v>
      </c>
      <c r="BI69" s="285">
        <f>(3403.86-972.56)/1000</f>
        <v>2.4313000000000002</v>
      </c>
      <c r="BJ69" s="285">
        <v>4.84</v>
      </c>
      <c r="BK69" s="285">
        <v>0</v>
      </c>
      <c r="BL69" s="285">
        <v>0</v>
      </c>
      <c r="BM69" s="285">
        <v>0</v>
      </c>
      <c r="BN69" s="285">
        <v>0</v>
      </c>
      <c r="BO69" s="295">
        <v>0</v>
      </c>
      <c r="BP69" s="285">
        <f>'12 освоение'!AB66</f>
        <v>0.5251374089830508</v>
      </c>
      <c r="BQ69" s="138">
        <v>1.03</v>
      </c>
      <c r="BR69" s="138">
        <v>0</v>
      </c>
      <c r="BS69" s="138">
        <v>0</v>
      </c>
      <c r="BT69" s="138">
        <v>0</v>
      </c>
      <c r="BU69" s="138">
        <v>0</v>
      </c>
      <c r="BV69" s="138">
        <f t="shared" si="78"/>
        <v>-0.271004471016949</v>
      </c>
      <c r="BW69" s="210">
        <f>BV69/E69</f>
        <v>-0.06452487405165452</v>
      </c>
      <c r="BX69" s="138">
        <f t="shared" si="79"/>
        <v>0</v>
      </c>
      <c r="BY69" s="138"/>
      <c r="BZ69" s="211" t="s">
        <v>239</v>
      </c>
    </row>
    <row r="70" spans="1:78" s="165" customFormat="1" ht="18.75">
      <c r="A70" s="65" t="s">
        <v>124</v>
      </c>
      <c r="B70" s="228" t="s">
        <v>130</v>
      </c>
      <c r="C70" s="269"/>
      <c r="D70" s="138">
        <f t="shared" si="80"/>
        <v>0</v>
      </c>
      <c r="E70" s="138">
        <f t="shared" si="81"/>
        <v>0.6</v>
      </c>
      <c r="F70" s="138">
        <f t="shared" si="82"/>
        <v>0</v>
      </c>
      <c r="G70" s="138">
        <f t="shared" si="83"/>
        <v>0</v>
      </c>
      <c r="H70" s="138">
        <f t="shared" si="84"/>
        <v>0</v>
      </c>
      <c r="I70" s="138">
        <f t="shared" si="85"/>
        <v>0</v>
      </c>
      <c r="J70" s="138">
        <f t="shared" si="86"/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  <c r="U70" s="138">
        <v>0</v>
      </c>
      <c r="V70" s="138">
        <v>0</v>
      </c>
      <c r="W70" s="138">
        <v>0</v>
      </c>
      <c r="X70" s="138">
        <v>0</v>
      </c>
      <c r="Y70" s="138">
        <v>0</v>
      </c>
      <c r="Z70" s="138">
        <v>0</v>
      </c>
      <c r="AA70" s="138">
        <v>0</v>
      </c>
      <c r="AB70" s="138">
        <v>0</v>
      </c>
      <c r="AC70" s="138">
        <v>0</v>
      </c>
      <c r="AD70" s="138">
        <v>0</v>
      </c>
      <c r="AE70" s="138">
        <v>0</v>
      </c>
      <c r="AF70" s="138">
        <v>0</v>
      </c>
      <c r="AG70" s="138">
        <f>0.708/1.18</f>
        <v>0.6</v>
      </c>
      <c r="AH70" s="138">
        <v>0</v>
      </c>
      <c r="AI70" s="138">
        <v>0</v>
      </c>
      <c r="AJ70" s="138">
        <v>0</v>
      </c>
      <c r="AK70" s="138">
        <v>0</v>
      </c>
      <c r="AL70" s="138">
        <v>0</v>
      </c>
      <c r="AM70" s="138">
        <f t="shared" si="87"/>
        <v>0</v>
      </c>
      <c r="AN70" s="138">
        <f t="shared" si="88"/>
        <v>0</v>
      </c>
      <c r="AO70" s="138">
        <f t="shared" si="89"/>
        <v>0</v>
      </c>
      <c r="AP70" s="138">
        <f t="shared" si="90"/>
        <v>0</v>
      </c>
      <c r="AQ70" s="138">
        <f t="shared" si="91"/>
        <v>0</v>
      </c>
      <c r="AR70" s="138">
        <f t="shared" si="92"/>
        <v>0</v>
      </c>
      <c r="AS70" s="138">
        <f t="shared" si="93"/>
        <v>0</v>
      </c>
      <c r="AT70" s="138">
        <v>0</v>
      </c>
      <c r="AU70" s="138">
        <v>0</v>
      </c>
      <c r="AV70" s="138">
        <v>0</v>
      </c>
      <c r="AW70" s="138">
        <v>0</v>
      </c>
      <c r="AX70" s="138">
        <v>0</v>
      </c>
      <c r="AY70" s="138">
        <v>0</v>
      </c>
      <c r="AZ70" s="138">
        <v>0</v>
      </c>
      <c r="BA70" s="138">
        <v>0</v>
      </c>
      <c r="BB70" s="295">
        <v>0</v>
      </c>
      <c r="BC70" s="295">
        <v>0</v>
      </c>
      <c r="BD70" s="295">
        <v>0</v>
      </c>
      <c r="BE70" s="295">
        <v>0</v>
      </c>
      <c r="BF70" s="295">
        <v>0</v>
      </c>
      <c r="BG70" s="295">
        <v>0</v>
      </c>
      <c r="BH70" s="285">
        <v>0</v>
      </c>
      <c r="BI70" s="285">
        <v>0</v>
      </c>
      <c r="BJ70" s="285">
        <v>0</v>
      </c>
      <c r="BK70" s="285">
        <v>0</v>
      </c>
      <c r="BL70" s="285">
        <v>0</v>
      </c>
      <c r="BM70" s="285">
        <v>0</v>
      </c>
      <c r="BN70" s="285">
        <v>0</v>
      </c>
      <c r="BO70" s="295">
        <v>0</v>
      </c>
      <c r="BP70" s="295">
        <v>0</v>
      </c>
      <c r="BQ70" s="138">
        <v>0</v>
      </c>
      <c r="BR70" s="138">
        <v>0</v>
      </c>
      <c r="BS70" s="138">
        <v>0</v>
      </c>
      <c r="BT70" s="138">
        <v>0</v>
      </c>
      <c r="BU70" s="138">
        <v>0</v>
      </c>
      <c r="BV70" s="138">
        <f t="shared" si="78"/>
        <v>-0.6</v>
      </c>
      <c r="BW70" s="210">
        <f>BV70/E70</f>
        <v>-1</v>
      </c>
      <c r="BX70" s="138">
        <f t="shared" si="79"/>
        <v>0</v>
      </c>
      <c r="BY70" s="138"/>
      <c r="BZ70" s="211" t="s">
        <v>239</v>
      </c>
    </row>
    <row r="71" spans="1:78" s="165" customFormat="1" ht="18.75">
      <c r="A71" s="65" t="s">
        <v>124</v>
      </c>
      <c r="B71" s="228" t="s">
        <v>132</v>
      </c>
      <c r="C71" s="269"/>
      <c r="D71" s="138">
        <f t="shared" si="80"/>
        <v>0</v>
      </c>
      <c r="E71" s="138">
        <f t="shared" si="81"/>
        <v>1.1826232719999916</v>
      </c>
      <c r="F71" s="138">
        <f t="shared" si="82"/>
        <v>0</v>
      </c>
      <c r="G71" s="138">
        <f t="shared" si="83"/>
        <v>0</v>
      </c>
      <c r="H71" s="138">
        <f t="shared" si="84"/>
        <v>0</v>
      </c>
      <c r="I71" s="138">
        <f t="shared" si="85"/>
        <v>0</v>
      </c>
      <c r="J71" s="138">
        <f t="shared" si="86"/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0</v>
      </c>
      <c r="Z71" s="138">
        <v>0</v>
      </c>
      <c r="AA71" s="138">
        <v>0</v>
      </c>
      <c r="AB71" s="138">
        <v>0</v>
      </c>
      <c r="AC71" s="138">
        <v>0</v>
      </c>
      <c r="AD71" s="138">
        <v>0</v>
      </c>
      <c r="AE71" s="138">
        <v>0</v>
      </c>
      <c r="AF71" s="138">
        <v>0</v>
      </c>
      <c r="AG71" s="138">
        <f>1.39549546095999/1.18</f>
        <v>1.1826232719999916</v>
      </c>
      <c r="AH71" s="138">
        <v>0</v>
      </c>
      <c r="AI71" s="138">
        <v>0</v>
      </c>
      <c r="AJ71" s="138">
        <v>0</v>
      </c>
      <c r="AK71" s="138">
        <v>0</v>
      </c>
      <c r="AL71" s="138">
        <v>0</v>
      </c>
      <c r="AM71" s="138">
        <f t="shared" si="87"/>
        <v>0</v>
      </c>
      <c r="AN71" s="138">
        <f t="shared" si="88"/>
        <v>1.5691</v>
      </c>
      <c r="AO71" s="138">
        <f t="shared" si="89"/>
        <v>0</v>
      </c>
      <c r="AP71" s="138">
        <f t="shared" si="90"/>
        <v>0</v>
      </c>
      <c r="AQ71" s="138">
        <f t="shared" si="91"/>
        <v>10.62</v>
      </c>
      <c r="AR71" s="138">
        <f t="shared" si="92"/>
        <v>0</v>
      </c>
      <c r="AS71" s="138">
        <f t="shared" si="93"/>
        <v>0</v>
      </c>
      <c r="AT71" s="138">
        <v>0</v>
      </c>
      <c r="AU71" s="138">
        <v>0</v>
      </c>
      <c r="AV71" s="138">
        <v>0</v>
      </c>
      <c r="AW71" s="138">
        <v>0</v>
      </c>
      <c r="AX71" s="138">
        <v>0</v>
      </c>
      <c r="AY71" s="138">
        <v>0</v>
      </c>
      <c r="AZ71" s="138">
        <v>0</v>
      </c>
      <c r="BA71" s="138">
        <v>0</v>
      </c>
      <c r="BB71" s="295">
        <v>0</v>
      </c>
      <c r="BC71" s="295">
        <v>0</v>
      </c>
      <c r="BD71" s="295">
        <v>0</v>
      </c>
      <c r="BE71" s="295">
        <v>0</v>
      </c>
      <c r="BF71" s="295">
        <v>0</v>
      </c>
      <c r="BG71" s="295">
        <v>0</v>
      </c>
      <c r="BH71" s="285">
        <v>0</v>
      </c>
      <c r="BI71" s="307">
        <f>1569.1/1000</f>
        <v>1.5691</v>
      </c>
      <c r="BJ71" s="285">
        <v>0</v>
      </c>
      <c r="BK71" s="285">
        <v>0</v>
      </c>
      <c r="BL71" s="285">
        <v>10.62</v>
      </c>
      <c r="BM71" s="285">
        <v>0</v>
      </c>
      <c r="BN71" s="285">
        <v>0</v>
      </c>
      <c r="BO71" s="295">
        <v>0</v>
      </c>
      <c r="BP71" s="295">
        <v>0</v>
      </c>
      <c r="BQ71" s="138">
        <v>0</v>
      </c>
      <c r="BR71" s="138">
        <v>0</v>
      </c>
      <c r="BS71" s="138">
        <v>0</v>
      </c>
      <c r="BT71" s="138">
        <v>0</v>
      </c>
      <c r="BU71" s="138">
        <v>0</v>
      </c>
      <c r="BV71" s="138">
        <f t="shared" si="78"/>
        <v>0.3864767280000083</v>
      </c>
      <c r="BW71" s="210">
        <f>BV71/E71</f>
        <v>0.3267961464570359</v>
      </c>
      <c r="BX71" s="138">
        <f t="shared" si="79"/>
        <v>0</v>
      </c>
      <c r="BY71" s="138"/>
      <c r="BZ71" s="211" t="s">
        <v>239</v>
      </c>
    </row>
    <row r="72" spans="1:78" s="165" customFormat="1" ht="18.75">
      <c r="A72" s="65" t="s">
        <v>124</v>
      </c>
      <c r="B72" s="228" t="s">
        <v>135</v>
      </c>
      <c r="C72" s="269"/>
      <c r="D72" s="138">
        <f t="shared" si="80"/>
        <v>0</v>
      </c>
      <c r="E72" s="138">
        <f t="shared" si="81"/>
        <v>0</v>
      </c>
      <c r="F72" s="138">
        <f t="shared" si="82"/>
        <v>0</v>
      </c>
      <c r="G72" s="138">
        <f t="shared" si="83"/>
        <v>0</v>
      </c>
      <c r="H72" s="138">
        <f t="shared" si="84"/>
        <v>0</v>
      </c>
      <c r="I72" s="138">
        <f t="shared" si="85"/>
        <v>0</v>
      </c>
      <c r="J72" s="138">
        <f t="shared" si="86"/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  <c r="U72" s="138">
        <v>0</v>
      </c>
      <c r="V72" s="138">
        <v>0</v>
      </c>
      <c r="W72" s="138">
        <v>0</v>
      </c>
      <c r="X72" s="138">
        <v>0</v>
      </c>
      <c r="Y72" s="138">
        <v>0</v>
      </c>
      <c r="Z72" s="138">
        <v>0</v>
      </c>
      <c r="AA72" s="138">
        <v>0</v>
      </c>
      <c r="AB72" s="138">
        <v>0</v>
      </c>
      <c r="AC72" s="138">
        <v>0</v>
      </c>
      <c r="AD72" s="138">
        <v>0</v>
      </c>
      <c r="AE72" s="138">
        <v>0</v>
      </c>
      <c r="AF72" s="138">
        <v>0</v>
      </c>
      <c r="AG72" s="138">
        <v>0</v>
      </c>
      <c r="AH72" s="138">
        <v>0</v>
      </c>
      <c r="AI72" s="138">
        <v>0</v>
      </c>
      <c r="AJ72" s="138">
        <v>0</v>
      </c>
      <c r="AK72" s="138">
        <v>0</v>
      </c>
      <c r="AL72" s="138">
        <v>0</v>
      </c>
      <c r="AM72" s="138">
        <f t="shared" si="87"/>
        <v>0</v>
      </c>
      <c r="AN72" s="138">
        <f t="shared" si="88"/>
        <v>0.006223220000000001</v>
      </c>
      <c r="AO72" s="138">
        <f t="shared" si="89"/>
        <v>0</v>
      </c>
      <c r="AP72" s="138">
        <f t="shared" si="90"/>
        <v>0</v>
      </c>
      <c r="AQ72" s="138">
        <f t="shared" si="91"/>
        <v>0</v>
      </c>
      <c r="AR72" s="138">
        <f t="shared" si="92"/>
        <v>0</v>
      </c>
      <c r="AS72" s="138">
        <f t="shared" si="93"/>
        <v>0</v>
      </c>
      <c r="AT72" s="138">
        <v>0</v>
      </c>
      <c r="AU72" s="171">
        <f>6.22322/1000</f>
        <v>0.006223220000000001</v>
      </c>
      <c r="AV72" s="138">
        <v>0</v>
      </c>
      <c r="AW72" s="138">
        <v>0</v>
      </c>
      <c r="AX72" s="138">
        <v>0</v>
      </c>
      <c r="AY72" s="138">
        <v>0</v>
      </c>
      <c r="AZ72" s="138">
        <v>0</v>
      </c>
      <c r="BA72" s="138">
        <v>0</v>
      </c>
      <c r="BB72" s="295">
        <v>0</v>
      </c>
      <c r="BC72" s="295">
        <v>0</v>
      </c>
      <c r="BD72" s="295">
        <v>0</v>
      </c>
      <c r="BE72" s="295">
        <v>0</v>
      </c>
      <c r="BF72" s="295">
        <v>0</v>
      </c>
      <c r="BG72" s="295">
        <v>0</v>
      </c>
      <c r="BH72" s="285">
        <v>0</v>
      </c>
      <c r="BI72" s="285">
        <v>0</v>
      </c>
      <c r="BJ72" s="285">
        <v>0</v>
      </c>
      <c r="BK72" s="285">
        <v>0</v>
      </c>
      <c r="BL72" s="285">
        <v>0</v>
      </c>
      <c r="BM72" s="285">
        <v>0</v>
      </c>
      <c r="BN72" s="285">
        <v>0</v>
      </c>
      <c r="BO72" s="295">
        <v>0</v>
      </c>
      <c r="BP72" s="295">
        <v>0</v>
      </c>
      <c r="BQ72" s="138">
        <v>0</v>
      </c>
      <c r="BR72" s="138">
        <v>0</v>
      </c>
      <c r="BS72" s="138">
        <v>0</v>
      </c>
      <c r="BT72" s="138">
        <v>0</v>
      </c>
      <c r="BU72" s="138">
        <v>0</v>
      </c>
      <c r="BV72" s="138">
        <f t="shared" si="78"/>
        <v>0.006223220000000001</v>
      </c>
      <c r="BW72" s="210"/>
      <c r="BX72" s="138">
        <f t="shared" si="79"/>
        <v>0</v>
      </c>
      <c r="BY72" s="138"/>
      <c r="BZ72" s="211"/>
    </row>
    <row r="73" spans="1:78" s="165" customFormat="1" ht="31.5">
      <c r="A73" s="218"/>
      <c r="B73" s="228" t="s">
        <v>137</v>
      </c>
      <c r="C73" s="269"/>
      <c r="D73" s="138">
        <f t="shared" si="80"/>
        <v>0</v>
      </c>
      <c r="E73" s="138">
        <f t="shared" si="81"/>
        <v>0</v>
      </c>
      <c r="F73" s="138">
        <f t="shared" si="82"/>
        <v>0</v>
      </c>
      <c r="G73" s="138">
        <f t="shared" si="83"/>
        <v>0</v>
      </c>
      <c r="H73" s="138">
        <f t="shared" si="84"/>
        <v>0</v>
      </c>
      <c r="I73" s="138">
        <f t="shared" si="85"/>
        <v>0</v>
      </c>
      <c r="J73" s="138">
        <f t="shared" si="86"/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0</v>
      </c>
      <c r="AA73" s="138">
        <v>0</v>
      </c>
      <c r="AB73" s="138">
        <v>0</v>
      </c>
      <c r="AC73" s="138">
        <v>0</v>
      </c>
      <c r="AD73" s="138">
        <v>0</v>
      </c>
      <c r="AE73" s="138">
        <v>0</v>
      </c>
      <c r="AF73" s="138">
        <v>0</v>
      </c>
      <c r="AG73" s="138">
        <v>0</v>
      </c>
      <c r="AH73" s="138">
        <v>0</v>
      </c>
      <c r="AI73" s="138">
        <v>0</v>
      </c>
      <c r="AJ73" s="138">
        <v>0</v>
      </c>
      <c r="AK73" s="138">
        <v>0</v>
      </c>
      <c r="AL73" s="138">
        <v>0</v>
      </c>
      <c r="AM73" s="138">
        <f t="shared" si="87"/>
        <v>0</v>
      </c>
      <c r="AN73" s="138">
        <f t="shared" si="88"/>
        <v>0.0720339</v>
      </c>
      <c r="AO73" s="138">
        <f t="shared" si="89"/>
        <v>0</v>
      </c>
      <c r="AP73" s="138">
        <f t="shared" si="90"/>
        <v>0</v>
      </c>
      <c r="AQ73" s="138">
        <f t="shared" si="91"/>
        <v>0</v>
      </c>
      <c r="AR73" s="138">
        <f t="shared" si="92"/>
        <v>0</v>
      </c>
      <c r="AS73" s="138">
        <f t="shared" si="93"/>
        <v>0</v>
      </c>
      <c r="AT73" s="138">
        <v>0</v>
      </c>
      <c r="AU73" s="138">
        <v>0</v>
      </c>
      <c r="AV73" s="138">
        <v>0</v>
      </c>
      <c r="AW73" s="138">
        <v>0</v>
      </c>
      <c r="AX73" s="138">
        <v>0</v>
      </c>
      <c r="AY73" s="138">
        <v>0</v>
      </c>
      <c r="AZ73" s="138">
        <v>0</v>
      </c>
      <c r="BA73" s="138">
        <v>0</v>
      </c>
      <c r="BB73" s="285">
        <v>0</v>
      </c>
      <c r="BC73" s="285">
        <v>0</v>
      </c>
      <c r="BD73" s="285">
        <v>0</v>
      </c>
      <c r="BE73" s="285">
        <v>0</v>
      </c>
      <c r="BF73" s="285">
        <v>0</v>
      </c>
      <c r="BG73" s="285">
        <v>0</v>
      </c>
      <c r="BH73" s="285">
        <v>0</v>
      </c>
      <c r="BI73" s="306">
        <f>72.0339/1000</f>
        <v>0.0720339</v>
      </c>
      <c r="BJ73" s="285">
        <v>0</v>
      </c>
      <c r="BK73" s="285">
        <v>0</v>
      </c>
      <c r="BL73" s="285">
        <v>0</v>
      </c>
      <c r="BM73" s="285">
        <v>0</v>
      </c>
      <c r="BN73" s="285">
        <v>0</v>
      </c>
      <c r="BO73" s="285">
        <v>0</v>
      </c>
      <c r="BP73" s="285">
        <v>0</v>
      </c>
      <c r="BQ73" s="171">
        <v>0</v>
      </c>
      <c r="BR73" s="171">
        <v>0</v>
      </c>
      <c r="BS73" s="171">
        <v>0</v>
      </c>
      <c r="BT73" s="171">
        <v>0</v>
      </c>
      <c r="BU73" s="171">
        <v>0</v>
      </c>
      <c r="BV73" s="138">
        <f t="shared" si="78"/>
        <v>0.0720339</v>
      </c>
      <c r="BW73" s="210"/>
      <c r="BX73" s="138">
        <f t="shared" si="79"/>
        <v>0</v>
      </c>
      <c r="BY73" s="138"/>
      <c r="BZ73" s="219"/>
    </row>
    <row r="74" spans="1:78" s="165" customFormat="1" ht="18.75">
      <c r="A74" s="218"/>
      <c r="B74" s="183" t="s">
        <v>139</v>
      </c>
      <c r="C74" s="269"/>
      <c r="D74" s="138">
        <f t="shared" si="80"/>
        <v>0</v>
      </c>
      <c r="E74" s="138">
        <f t="shared" si="81"/>
        <v>0</v>
      </c>
      <c r="F74" s="138">
        <f t="shared" si="82"/>
        <v>0</v>
      </c>
      <c r="G74" s="138">
        <f t="shared" si="83"/>
        <v>0</v>
      </c>
      <c r="H74" s="138">
        <f t="shared" si="84"/>
        <v>0</v>
      </c>
      <c r="I74" s="138">
        <f t="shared" si="85"/>
        <v>0</v>
      </c>
      <c r="J74" s="138">
        <f t="shared" si="86"/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  <c r="AA74" s="138">
        <v>0</v>
      </c>
      <c r="AB74" s="138">
        <v>0</v>
      </c>
      <c r="AC74" s="138">
        <v>0</v>
      </c>
      <c r="AD74" s="138">
        <v>0</v>
      </c>
      <c r="AE74" s="138">
        <v>0</v>
      </c>
      <c r="AF74" s="138">
        <v>0</v>
      </c>
      <c r="AG74" s="138">
        <v>0</v>
      </c>
      <c r="AH74" s="138">
        <v>0</v>
      </c>
      <c r="AI74" s="138">
        <v>0</v>
      </c>
      <c r="AJ74" s="138">
        <v>0</v>
      </c>
      <c r="AK74" s="138">
        <v>0</v>
      </c>
      <c r="AL74" s="138">
        <v>0</v>
      </c>
      <c r="AM74" s="138">
        <f t="shared" si="87"/>
        <v>0</v>
      </c>
      <c r="AN74" s="138">
        <f t="shared" si="88"/>
        <v>0.5165449999999999</v>
      </c>
      <c r="AO74" s="138">
        <f t="shared" si="89"/>
        <v>0</v>
      </c>
      <c r="AP74" s="138">
        <f t="shared" si="90"/>
        <v>0</v>
      </c>
      <c r="AQ74" s="138">
        <f t="shared" si="91"/>
        <v>0</v>
      </c>
      <c r="AR74" s="138">
        <f t="shared" si="92"/>
        <v>0</v>
      </c>
      <c r="AS74" s="138">
        <f t="shared" si="93"/>
        <v>0</v>
      </c>
      <c r="AT74" s="138">
        <v>0</v>
      </c>
      <c r="AU74" s="138">
        <v>0</v>
      </c>
      <c r="AV74" s="138">
        <v>0</v>
      </c>
      <c r="AW74" s="138">
        <v>0</v>
      </c>
      <c r="AX74" s="138">
        <v>0</v>
      </c>
      <c r="AY74" s="138">
        <v>0</v>
      </c>
      <c r="AZ74" s="138">
        <v>0</v>
      </c>
      <c r="BA74" s="138">
        <v>0</v>
      </c>
      <c r="BB74" s="285">
        <v>0</v>
      </c>
      <c r="BC74" s="285">
        <v>0</v>
      </c>
      <c r="BD74" s="285">
        <v>0</v>
      </c>
      <c r="BE74" s="285">
        <v>0</v>
      </c>
      <c r="BF74" s="285">
        <v>0</v>
      </c>
      <c r="BG74" s="285">
        <v>0</v>
      </c>
      <c r="BH74" s="285">
        <v>0</v>
      </c>
      <c r="BI74" s="306">
        <v>0</v>
      </c>
      <c r="BJ74" s="285">
        <v>0</v>
      </c>
      <c r="BK74" s="285">
        <v>0</v>
      </c>
      <c r="BL74" s="285">
        <v>0</v>
      </c>
      <c r="BM74" s="285">
        <v>0</v>
      </c>
      <c r="BN74" s="285">
        <v>0</v>
      </c>
      <c r="BO74" s="285">
        <v>0</v>
      </c>
      <c r="BP74" s="308">
        <f>516.545/1000</f>
        <v>0.5165449999999999</v>
      </c>
      <c r="BQ74" s="138">
        <v>0</v>
      </c>
      <c r="BR74" s="138">
        <v>0</v>
      </c>
      <c r="BS74" s="138">
        <v>0</v>
      </c>
      <c r="BT74" s="138">
        <v>0</v>
      </c>
      <c r="BU74" s="138">
        <v>0</v>
      </c>
      <c r="BV74" s="138">
        <f t="shared" si="78"/>
        <v>0.5165449999999999</v>
      </c>
      <c r="BW74" s="210"/>
      <c r="BX74" s="138">
        <f t="shared" si="79"/>
        <v>0</v>
      </c>
      <c r="BY74" s="138"/>
      <c r="BZ74" s="219"/>
    </row>
    <row r="75" spans="1:78" s="165" customFormat="1" ht="31.5">
      <c r="A75" s="218"/>
      <c r="B75" s="183" t="s">
        <v>141</v>
      </c>
      <c r="C75" s="269"/>
      <c r="D75" s="138">
        <f t="shared" si="80"/>
        <v>0</v>
      </c>
      <c r="E75" s="138">
        <f t="shared" si="81"/>
        <v>0</v>
      </c>
      <c r="F75" s="138">
        <f t="shared" si="82"/>
        <v>0</v>
      </c>
      <c r="G75" s="138">
        <f t="shared" si="83"/>
        <v>0</v>
      </c>
      <c r="H75" s="138">
        <f t="shared" si="84"/>
        <v>0</v>
      </c>
      <c r="I75" s="138">
        <f t="shared" si="85"/>
        <v>0</v>
      </c>
      <c r="J75" s="138">
        <f t="shared" si="86"/>
        <v>0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8">
        <v>0</v>
      </c>
      <c r="AB75" s="138">
        <v>0</v>
      </c>
      <c r="AC75" s="138">
        <v>0</v>
      </c>
      <c r="AD75" s="138">
        <v>0</v>
      </c>
      <c r="AE75" s="138">
        <v>0</v>
      </c>
      <c r="AF75" s="138">
        <v>0</v>
      </c>
      <c r="AG75" s="138">
        <v>0</v>
      </c>
      <c r="AH75" s="138">
        <v>0</v>
      </c>
      <c r="AI75" s="138">
        <v>0</v>
      </c>
      <c r="AJ75" s="138">
        <v>0</v>
      </c>
      <c r="AK75" s="138">
        <v>0</v>
      </c>
      <c r="AL75" s="138">
        <v>0</v>
      </c>
      <c r="AM75" s="138">
        <f t="shared" si="87"/>
        <v>0</v>
      </c>
      <c r="AN75" s="138">
        <f t="shared" si="88"/>
        <v>0.06928064</v>
      </c>
      <c r="AO75" s="138">
        <f t="shared" si="89"/>
        <v>0</v>
      </c>
      <c r="AP75" s="138">
        <f t="shared" si="90"/>
        <v>0</v>
      </c>
      <c r="AQ75" s="138">
        <f t="shared" si="91"/>
        <v>0</v>
      </c>
      <c r="AR75" s="138">
        <f t="shared" si="92"/>
        <v>0</v>
      </c>
      <c r="AS75" s="138">
        <f t="shared" si="93"/>
        <v>0</v>
      </c>
      <c r="AT75" s="138">
        <v>0</v>
      </c>
      <c r="AU75" s="138">
        <v>0</v>
      </c>
      <c r="AV75" s="138">
        <v>0</v>
      </c>
      <c r="AW75" s="138">
        <v>0</v>
      </c>
      <c r="AX75" s="138">
        <v>0</v>
      </c>
      <c r="AY75" s="138">
        <v>0</v>
      </c>
      <c r="AZ75" s="138">
        <v>0</v>
      </c>
      <c r="BA75" s="138">
        <v>0</v>
      </c>
      <c r="BB75" s="285">
        <v>0</v>
      </c>
      <c r="BC75" s="285">
        <v>0</v>
      </c>
      <c r="BD75" s="285">
        <v>0</v>
      </c>
      <c r="BE75" s="285">
        <v>0</v>
      </c>
      <c r="BF75" s="285">
        <v>0</v>
      </c>
      <c r="BG75" s="285">
        <v>0</v>
      </c>
      <c r="BH75" s="285">
        <v>0</v>
      </c>
      <c r="BI75" s="306">
        <v>0</v>
      </c>
      <c r="BJ75" s="285">
        <v>0</v>
      </c>
      <c r="BK75" s="285">
        <v>0</v>
      </c>
      <c r="BL75" s="285">
        <v>0</v>
      </c>
      <c r="BM75" s="285">
        <v>0</v>
      </c>
      <c r="BN75" s="285">
        <v>0</v>
      </c>
      <c r="BO75" s="285">
        <v>0</v>
      </c>
      <c r="BP75" s="308">
        <f>69.28064/1000</f>
        <v>0.06928064</v>
      </c>
      <c r="BQ75" s="138">
        <v>0</v>
      </c>
      <c r="BR75" s="138">
        <v>0</v>
      </c>
      <c r="BS75" s="138">
        <v>0</v>
      </c>
      <c r="BT75" s="138">
        <v>0</v>
      </c>
      <c r="BU75" s="138">
        <v>0</v>
      </c>
      <c r="BV75" s="138">
        <f t="shared" si="78"/>
        <v>0.06928064</v>
      </c>
      <c r="BW75" s="210"/>
      <c r="BX75" s="138">
        <f t="shared" si="79"/>
        <v>0</v>
      </c>
      <c r="BY75" s="138"/>
      <c r="BZ75" s="219"/>
    </row>
    <row r="76" spans="1:78" s="165" customFormat="1" ht="18.75">
      <c r="A76" s="218"/>
      <c r="B76" s="183" t="s">
        <v>143</v>
      </c>
      <c r="C76" s="269"/>
      <c r="D76" s="138">
        <f t="shared" si="80"/>
        <v>0</v>
      </c>
      <c r="E76" s="138">
        <f t="shared" si="81"/>
        <v>0</v>
      </c>
      <c r="F76" s="138">
        <f t="shared" si="82"/>
        <v>0</v>
      </c>
      <c r="G76" s="138">
        <f t="shared" si="83"/>
        <v>0</v>
      </c>
      <c r="H76" s="138">
        <f t="shared" si="84"/>
        <v>0</v>
      </c>
      <c r="I76" s="138">
        <f t="shared" si="85"/>
        <v>0</v>
      </c>
      <c r="J76" s="138">
        <f t="shared" si="86"/>
        <v>0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v>0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  <c r="W76" s="138">
        <v>0</v>
      </c>
      <c r="X76" s="138">
        <v>0</v>
      </c>
      <c r="Y76" s="138">
        <v>0</v>
      </c>
      <c r="Z76" s="138">
        <v>0</v>
      </c>
      <c r="AA76" s="138">
        <v>0</v>
      </c>
      <c r="AB76" s="138">
        <v>0</v>
      </c>
      <c r="AC76" s="138">
        <v>0</v>
      </c>
      <c r="AD76" s="138">
        <v>0</v>
      </c>
      <c r="AE76" s="138">
        <v>0</v>
      </c>
      <c r="AF76" s="138">
        <v>0</v>
      </c>
      <c r="AG76" s="138">
        <v>0</v>
      </c>
      <c r="AH76" s="138">
        <v>0</v>
      </c>
      <c r="AI76" s="138">
        <v>0</v>
      </c>
      <c r="AJ76" s="138">
        <v>0</v>
      </c>
      <c r="AK76" s="138">
        <v>0</v>
      </c>
      <c r="AL76" s="138">
        <v>0</v>
      </c>
      <c r="AM76" s="138">
        <f t="shared" si="87"/>
        <v>0</v>
      </c>
      <c r="AN76" s="138">
        <f t="shared" si="88"/>
        <v>8.02796298</v>
      </c>
      <c r="AO76" s="138">
        <f t="shared" si="89"/>
        <v>0</v>
      </c>
      <c r="AP76" s="138">
        <f t="shared" si="90"/>
        <v>0</v>
      </c>
      <c r="AQ76" s="138">
        <f t="shared" si="91"/>
        <v>0</v>
      </c>
      <c r="AR76" s="138">
        <f t="shared" si="92"/>
        <v>0</v>
      </c>
      <c r="AS76" s="138">
        <f t="shared" si="93"/>
        <v>0</v>
      </c>
      <c r="AT76" s="138">
        <v>0</v>
      </c>
      <c r="AU76" s="138">
        <v>0</v>
      </c>
      <c r="AV76" s="138">
        <v>0</v>
      </c>
      <c r="AW76" s="138">
        <v>0</v>
      </c>
      <c r="AX76" s="138">
        <v>0</v>
      </c>
      <c r="AY76" s="138">
        <v>0</v>
      </c>
      <c r="AZ76" s="138">
        <v>0</v>
      </c>
      <c r="BA76" s="138">
        <v>0</v>
      </c>
      <c r="BB76" s="285">
        <v>0</v>
      </c>
      <c r="BC76" s="285">
        <v>0</v>
      </c>
      <c r="BD76" s="285">
        <v>0</v>
      </c>
      <c r="BE76" s="285">
        <v>0</v>
      </c>
      <c r="BF76" s="285">
        <v>0</v>
      </c>
      <c r="BG76" s="285">
        <v>0</v>
      </c>
      <c r="BH76" s="285">
        <v>0</v>
      </c>
      <c r="BI76" s="306">
        <v>0</v>
      </c>
      <c r="BJ76" s="285">
        <v>0</v>
      </c>
      <c r="BK76" s="285">
        <v>0</v>
      </c>
      <c r="BL76" s="285">
        <v>0</v>
      </c>
      <c r="BM76" s="285">
        <v>0</v>
      </c>
      <c r="BN76" s="285">
        <v>0</v>
      </c>
      <c r="BO76" s="285">
        <v>0</v>
      </c>
      <c r="BP76" s="309">
        <f>8027.96298/1000</f>
        <v>8.02796298</v>
      </c>
      <c r="BQ76" s="138">
        <v>0</v>
      </c>
      <c r="BR76" s="138">
        <v>0</v>
      </c>
      <c r="BS76" s="138">
        <v>0</v>
      </c>
      <c r="BT76" s="138">
        <v>0</v>
      </c>
      <c r="BU76" s="138">
        <v>0</v>
      </c>
      <c r="BV76" s="138">
        <f t="shared" si="78"/>
        <v>8.02796298</v>
      </c>
      <c r="BW76" s="210"/>
      <c r="BX76" s="138">
        <f t="shared" si="79"/>
        <v>0</v>
      </c>
      <c r="BY76" s="138"/>
      <c r="BZ76" s="219"/>
    </row>
    <row r="78" spans="26:47" ht="15.75">
      <c r="Z78" s="86">
        <f>'10  финансирование'!Q75</f>
        <v>0</v>
      </c>
      <c r="AG78" s="86">
        <f>'10  финансирование'!S75</f>
        <v>0</v>
      </c>
      <c r="AN78" s="3">
        <f>'10  финансирование'!L75</f>
        <v>0</v>
      </c>
      <c r="AU78" s="86">
        <f>'10  финансирование'!N75</f>
        <v>0</v>
      </c>
    </row>
    <row r="79" spans="26:61" ht="15.75">
      <c r="Z79" s="89">
        <f>Z22-Z78</f>
        <v>2.115377976</v>
      </c>
      <c r="AG79" s="89">
        <f>AG22-AG78</f>
        <v>15.82262327199999</v>
      </c>
      <c r="AN79" s="89">
        <f>AN22-AN78</f>
        <v>18.18227015898305</v>
      </c>
      <c r="AU79" s="89">
        <f>AU22-AU78</f>
        <v>0.52817787</v>
      </c>
      <c r="BB79" s="310"/>
      <c r="BI79" s="310"/>
    </row>
    <row r="80" ht="15.75">
      <c r="AU80" s="86"/>
    </row>
    <row r="81" ht="15.75">
      <c r="BT81" s="89"/>
    </row>
    <row r="83" ht="15.75">
      <c r="BT83" s="89"/>
    </row>
    <row r="88" spans="5:7" ht="15.75">
      <c r="E88" s="89"/>
      <c r="G88" s="86"/>
    </row>
  </sheetData>
  <sheetProtection selectLockedCells="1" selectUnlockedCells="1"/>
  <mergeCells count="39">
    <mergeCell ref="D17:AL17"/>
    <mergeCell ref="AM17:BU17"/>
    <mergeCell ref="BV17:BY18"/>
    <mergeCell ref="D18:J18"/>
    <mergeCell ref="K18:Q18"/>
    <mergeCell ref="R18:X18"/>
    <mergeCell ref="BO18:BU18"/>
    <mergeCell ref="AM18:AS18"/>
    <mergeCell ref="AT18:AZ18"/>
    <mergeCell ref="BA18:BG18"/>
    <mergeCell ref="AU19:AZ19"/>
    <mergeCell ref="BB19:BG19"/>
    <mergeCell ref="AM16:BY16"/>
    <mergeCell ref="BZ16:BZ20"/>
    <mergeCell ref="BP19:BU19"/>
    <mergeCell ref="BV19:BW19"/>
    <mergeCell ref="BX19:BY19"/>
    <mergeCell ref="BI19:BN19"/>
    <mergeCell ref="BH18:BN18"/>
    <mergeCell ref="AN19:AS19"/>
    <mergeCell ref="AG19:AL19"/>
    <mergeCell ref="E19:J19"/>
    <mergeCell ref="L19:Q19"/>
    <mergeCell ref="S19:X19"/>
    <mergeCell ref="Z19:AE19"/>
    <mergeCell ref="A4:BZ4"/>
    <mergeCell ref="A6:BZ6"/>
    <mergeCell ref="A7:BZ7"/>
    <mergeCell ref="A9:BZ9"/>
    <mergeCell ref="Y18:AE18"/>
    <mergeCell ref="A10:W10"/>
    <mergeCell ref="A12:BZ12"/>
    <mergeCell ref="A13:AL13"/>
    <mergeCell ref="A15:BZ15"/>
    <mergeCell ref="AF18:AL18"/>
    <mergeCell ref="A16:A20"/>
    <mergeCell ref="B16:B20"/>
    <mergeCell ref="C16:C20"/>
    <mergeCell ref="D16:AL16"/>
  </mergeCells>
  <dataValidations count="1">
    <dataValidation type="textLength" operator="lessThanOrEqual" allowBlank="1" showErrorMessage="1" errorTitle="Ошибка" error="Допускается ввод не более 900 символов!" sqref="B24 B35:B49 B51:B55 B57:B67 B69:B72">
      <formula1>900</formula1>
    </dataValidation>
  </dataValidations>
  <printOptions/>
  <pageMargins left="0.7" right="0.7" top="0.75" bottom="0.75" header="0.5118055555555555" footer="0.5118055555555555"/>
  <pageSetup fitToHeight="3" fitToWidth="1" horizontalDpi="300" verticalDpi="300" orientation="landscape" paperSize="9" scale="14" r:id="rId1"/>
  <colBreaks count="1" manualBreakCount="1">
    <brk id="7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2"/>
  <sheetViews>
    <sheetView view="pageBreakPreview" zoomScaleNormal="85" zoomScaleSheetLayoutView="100" zoomScalePageLayoutView="0" workbookViewId="0" topLeftCell="B4">
      <pane xSplit="1" topLeftCell="C2" activePane="topRight" state="frozen"/>
      <selection pane="topLeft" activeCell="B16" sqref="B16"/>
      <selection pane="topRight" activeCell="I19" sqref="I19:M19"/>
    </sheetView>
  </sheetViews>
  <sheetFormatPr defaultColWidth="9.8515625" defaultRowHeight="12.75"/>
  <cols>
    <col min="1" max="1" width="13.57421875" style="1" customWidth="1"/>
    <col min="2" max="2" width="80.8515625" style="2" customWidth="1"/>
    <col min="3" max="3" width="16.8515625" style="1" customWidth="1"/>
    <col min="4" max="5" width="6.140625" style="187" customWidth="1"/>
    <col min="6" max="7" width="7.28125" style="187" customWidth="1"/>
    <col min="8" max="8" width="7.421875" style="187" customWidth="1"/>
    <col min="9" max="10" width="6.140625" style="187" customWidth="1"/>
    <col min="11" max="12" width="7.28125" style="187" customWidth="1"/>
    <col min="13" max="13" width="6.140625" style="187" customWidth="1"/>
    <col min="14" max="15" width="6.140625" style="188" customWidth="1"/>
    <col min="16" max="17" width="7.28125" style="188" customWidth="1"/>
    <col min="18" max="18" width="6.140625" style="188" customWidth="1"/>
    <col min="19" max="20" width="6.140625" style="187" customWidth="1"/>
    <col min="21" max="22" width="7.28125" style="187" customWidth="1"/>
    <col min="23" max="25" width="6.140625" style="187" customWidth="1"/>
    <col min="26" max="27" width="7.28125" style="187" customWidth="1"/>
    <col min="28" max="29" width="6.140625" style="187" customWidth="1"/>
    <col min="30" max="30" width="6.140625" style="293" customWidth="1"/>
    <col min="31" max="31" width="8.421875" style="293" customWidth="1"/>
    <col min="32" max="32" width="7.28125" style="293" customWidth="1"/>
    <col min="33" max="35" width="6.140625" style="293" customWidth="1"/>
    <col min="36" max="37" width="7.28125" style="293" customWidth="1"/>
    <col min="38" max="38" width="6.140625" style="293" customWidth="1"/>
    <col min="39" max="39" width="6.7109375" style="293" customWidth="1"/>
    <col min="40" max="40" width="6.57421875" style="293" customWidth="1"/>
    <col min="41" max="41" width="6.8515625" style="293" customWidth="1"/>
    <col min="42" max="42" width="6.57421875" style="293" customWidth="1"/>
    <col min="43" max="43" width="7.28125" style="187" customWidth="1"/>
    <col min="44" max="44" width="6.57421875" style="288" customWidth="1"/>
    <col min="45" max="45" width="7.140625" style="220" customWidth="1"/>
    <col min="46" max="46" width="7.57421875" style="290" customWidth="1"/>
    <col min="47" max="47" width="7.28125" style="220" customWidth="1"/>
    <col min="48" max="48" width="7.140625" style="220" customWidth="1"/>
    <col min="49" max="49" width="9.57421875" style="289" customWidth="1"/>
    <col min="50" max="50" width="6.140625" style="187" customWidth="1"/>
    <col min="51" max="51" width="7.28125" style="291" customWidth="1"/>
    <col min="52" max="52" width="7.28125" style="187" customWidth="1"/>
    <col min="53" max="53" width="8.00390625" style="187" customWidth="1"/>
    <col min="54" max="54" width="21.28125" style="1" customWidth="1"/>
    <col min="55" max="16384" width="9.8515625" style="7" customWidth="1"/>
  </cols>
  <sheetData>
    <row r="1" spans="1:54" ht="18.75">
      <c r="A1" s="90"/>
      <c r="B1" s="22"/>
      <c r="C1" s="23"/>
      <c r="D1" s="188"/>
      <c r="E1" s="188"/>
      <c r="F1" s="188"/>
      <c r="G1" s="188"/>
      <c r="H1" s="188"/>
      <c r="I1" s="188"/>
      <c r="J1" s="188"/>
      <c r="K1" s="188"/>
      <c r="L1" s="188"/>
      <c r="M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188"/>
      <c r="AR1" s="321"/>
      <c r="AS1" s="188"/>
      <c r="AT1" s="292"/>
      <c r="AU1" s="188"/>
      <c r="AV1" s="188"/>
      <c r="AW1" s="321"/>
      <c r="AX1" s="188"/>
      <c r="AY1" s="292"/>
      <c r="AZ1" s="188"/>
      <c r="BA1" s="188"/>
      <c r="BB1" s="332" t="s">
        <v>241</v>
      </c>
    </row>
    <row r="2" spans="1:54" ht="18.75">
      <c r="A2" s="23"/>
      <c r="B2" s="22"/>
      <c r="C2" s="23"/>
      <c r="D2" s="188"/>
      <c r="E2" s="188"/>
      <c r="F2" s="188"/>
      <c r="G2" s="188"/>
      <c r="H2" s="188"/>
      <c r="I2" s="188"/>
      <c r="J2" s="188"/>
      <c r="K2" s="188"/>
      <c r="L2" s="188"/>
      <c r="M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188"/>
      <c r="AR2" s="321"/>
      <c r="AS2" s="188"/>
      <c r="AT2" s="292"/>
      <c r="AU2" s="188"/>
      <c r="AV2" s="188"/>
      <c r="AW2" s="321"/>
      <c r="AX2" s="188"/>
      <c r="AY2" s="292"/>
      <c r="AZ2" s="188"/>
      <c r="BA2" s="188"/>
      <c r="BB2" s="332" t="s">
        <v>2</v>
      </c>
    </row>
    <row r="3" spans="1:54" ht="18.75">
      <c r="A3" s="23"/>
      <c r="B3" s="22"/>
      <c r="C3" s="23"/>
      <c r="D3" s="188"/>
      <c r="E3" s="188"/>
      <c r="F3" s="188"/>
      <c r="G3" s="188"/>
      <c r="H3" s="188"/>
      <c r="I3" s="188"/>
      <c r="J3" s="188"/>
      <c r="K3" s="188"/>
      <c r="L3" s="188"/>
      <c r="M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188"/>
      <c r="AR3" s="321"/>
      <c r="AS3" s="188"/>
      <c r="AT3" s="292"/>
      <c r="AU3" s="188"/>
      <c r="AV3" s="188"/>
      <c r="AW3" s="321"/>
      <c r="AX3" s="188"/>
      <c r="AY3" s="292"/>
      <c r="AZ3" s="188"/>
      <c r="BA3" s="188"/>
      <c r="BB3" s="332" t="s">
        <v>3</v>
      </c>
    </row>
    <row r="4" spans="1:54" ht="18.75">
      <c r="A4" s="345" t="s">
        <v>212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</row>
    <row r="5" spans="1:54" ht="18.75">
      <c r="A5" s="23"/>
      <c r="B5" s="22"/>
      <c r="C5" s="23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33"/>
      <c r="X5" s="41"/>
      <c r="Y5" s="41"/>
      <c r="Z5" s="41"/>
      <c r="AA5" s="41"/>
      <c r="AB5" s="41"/>
      <c r="AC5" s="41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41"/>
      <c r="AR5" s="334"/>
      <c r="AS5" s="41"/>
      <c r="AT5" s="335"/>
      <c r="AU5" s="41"/>
      <c r="AV5" s="41"/>
      <c r="AW5" s="334"/>
      <c r="AX5" s="41"/>
      <c r="AY5" s="335"/>
      <c r="AZ5" s="41"/>
      <c r="BA5" s="41"/>
      <c r="BB5" s="190"/>
    </row>
    <row r="6" spans="1:54" ht="18.75" customHeight="1">
      <c r="A6" s="346" t="s">
        <v>256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</row>
    <row r="7" spans="1:54" ht="18.75" customHeight="1">
      <c r="A7" s="346" t="s">
        <v>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</row>
    <row r="8" spans="1:54" ht="18.75">
      <c r="A8" s="12"/>
      <c r="B8" s="221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41"/>
      <c r="Y8" s="41"/>
      <c r="Z8" s="41"/>
      <c r="AA8" s="41"/>
      <c r="AB8" s="41"/>
      <c r="AC8" s="41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41"/>
      <c r="AR8" s="334"/>
      <c r="AS8" s="41"/>
      <c r="AT8" s="335"/>
      <c r="AU8" s="41"/>
      <c r="AV8" s="41"/>
      <c r="AW8" s="334"/>
      <c r="AX8" s="41"/>
      <c r="AY8" s="335"/>
      <c r="AZ8" s="41"/>
      <c r="BA8" s="41"/>
      <c r="BB8" s="190"/>
    </row>
    <row r="9" spans="1:54" ht="15.75">
      <c r="A9" s="370" t="s">
        <v>146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</row>
    <row r="10" spans="1:54" ht="15.7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41"/>
      <c r="Y10" s="41"/>
      <c r="Z10" s="41"/>
      <c r="AA10" s="41"/>
      <c r="AB10" s="41"/>
      <c r="AC10" s="41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41"/>
      <c r="AR10" s="334"/>
      <c r="AS10" s="41"/>
      <c r="AT10" s="335"/>
      <c r="AU10" s="41"/>
      <c r="AV10" s="41"/>
      <c r="AW10" s="334"/>
      <c r="AX10" s="41"/>
      <c r="AY10" s="335"/>
      <c r="AZ10" s="41"/>
      <c r="BA10" s="41"/>
      <c r="BB10" s="190"/>
    </row>
    <row r="11" spans="1:54" ht="15.75">
      <c r="A11" s="320"/>
      <c r="B11" s="336"/>
      <c r="C11" s="320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41"/>
      <c r="Y11" s="41"/>
      <c r="Z11" s="41"/>
      <c r="AA11" s="41"/>
      <c r="AB11" s="41"/>
      <c r="AC11" s="41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41"/>
      <c r="AR11" s="334"/>
      <c r="AS11" s="41"/>
      <c r="AT11" s="335"/>
      <c r="AU11" s="41"/>
      <c r="AV11" s="41"/>
      <c r="AW11" s="334"/>
      <c r="AX11" s="41"/>
      <c r="AY11" s="335"/>
      <c r="AZ11" s="41"/>
      <c r="BA11" s="41"/>
      <c r="BB11" s="190"/>
    </row>
    <row r="12" spans="1:54" ht="18.7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</row>
    <row r="13" spans="1:54" ht="15.75">
      <c r="A13" s="374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16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6"/>
      <c r="AR13" s="318"/>
      <c r="AS13" s="316"/>
      <c r="AT13" s="319"/>
      <c r="AU13" s="316"/>
      <c r="AV13" s="316"/>
      <c r="AW13" s="318"/>
      <c r="AX13" s="316"/>
      <c r="AY13" s="319"/>
      <c r="AZ13" s="316"/>
      <c r="BA13" s="316"/>
      <c r="BB13" s="320"/>
    </row>
    <row r="14" spans="1:54" ht="15.75">
      <c r="A14" s="23"/>
      <c r="B14" s="22"/>
      <c r="C14" s="23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S14" s="188"/>
      <c r="T14" s="188"/>
      <c r="U14" s="188"/>
      <c r="V14" s="188"/>
      <c r="W14" s="188"/>
      <c r="X14" s="223"/>
      <c r="Y14" s="223"/>
      <c r="Z14" s="223"/>
      <c r="AA14" s="223"/>
      <c r="AB14" s="223"/>
      <c r="AC14" s="188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188"/>
      <c r="AR14" s="321"/>
      <c r="AS14" s="188"/>
      <c r="AT14" s="292"/>
      <c r="AU14" s="188"/>
      <c r="AV14" s="188"/>
      <c r="AW14" s="321"/>
      <c r="AX14" s="188"/>
      <c r="AY14" s="292"/>
      <c r="AZ14" s="188"/>
      <c r="BA14" s="188"/>
      <c r="BB14" s="23"/>
    </row>
    <row r="15" spans="1:54" ht="18.75">
      <c r="A15" s="363" t="s">
        <v>242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</row>
    <row r="16" spans="1:54" ht="15.75" customHeight="1">
      <c r="A16" s="364" t="s">
        <v>8</v>
      </c>
      <c r="B16" s="365" t="s">
        <v>9</v>
      </c>
      <c r="C16" s="365" t="s">
        <v>148</v>
      </c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48" t="s">
        <v>228</v>
      </c>
    </row>
    <row r="17" spans="1:54" ht="15.75">
      <c r="A17" s="364"/>
      <c r="B17" s="365"/>
      <c r="C17" s="365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48"/>
    </row>
    <row r="18" spans="1:54" ht="15.75" customHeight="1">
      <c r="A18" s="364"/>
      <c r="B18" s="365"/>
      <c r="C18" s="365"/>
      <c r="D18" s="371" t="s">
        <v>30</v>
      </c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 t="s">
        <v>31</v>
      </c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48"/>
    </row>
    <row r="19" spans="1:54" ht="30" customHeight="1">
      <c r="A19" s="364"/>
      <c r="B19" s="365"/>
      <c r="C19" s="365"/>
      <c r="D19" s="371" t="s">
        <v>243</v>
      </c>
      <c r="E19" s="371"/>
      <c r="F19" s="371"/>
      <c r="G19" s="371"/>
      <c r="H19" s="371"/>
      <c r="I19" s="371" t="s">
        <v>21</v>
      </c>
      <c r="J19" s="371"/>
      <c r="K19" s="371"/>
      <c r="L19" s="371"/>
      <c r="M19" s="371"/>
      <c r="N19" s="371" t="s">
        <v>244</v>
      </c>
      <c r="O19" s="371"/>
      <c r="P19" s="371"/>
      <c r="Q19" s="371"/>
      <c r="R19" s="371"/>
      <c r="S19" s="371" t="s">
        <v>23</v>
      </c>
      <c r="T19" s="371"/>
      <c r="U19" s="371"/>
      <c r="V19" s="371"/>
      <c r="W19" s="371"/>
      <c r="X19" s="371" t="s">
        <v>24</v>
      </c>
      <c r="Y19" s="371"/>
      <c r="Z19" s="371"/>
      <c r="AA19" s="371"/>
      <c r="AB19" s="371"/>
      <c r="AC19" s="371" t="s">
        <v>20</v>
      </c>
      <c r="AD19" s="371"/>
      <c r="AE19" s="371"/>
      <c r="AF19" s="371"/>
      <c r="AG19" s="371"/>
      <c r="AH19" s="375" t="s">
        <v>21</v>
      </c>
      <c r="AI19" s="375"/>
      <c r="AJ19" s="375"/>
      <c r="AK19" s="375"/>
      <c r="AL19" s="375"/>
      <c r="AM19" s="371" t="s">
        <v>22</v>
      </c>
      <c r="AN19" s="371"/>
      <c r="AO19" s="371"/>
      <c r="AP19" s="371"/>
      <c r="AQ19" s="371"/>
      <c r="AR19" s="371" t="s">
        <v>23</v>
      </c>
      <c r="AS19" s="371"/>
      <c r="AT19" s="371"/>
      <c r="AU19" s="371"/>
      <c r="AV19" s="371"/>
      <c r="AW19" s="371" t="s">
        <v>24</v>
      </c>
      <c r="AX19" s="371"/>
      <c r="AY19" s="371"/>
      <c r="AZ19" s="371"/>
      <c r="BA19" s="371"/>
      <c r="BB19" s="348"/>
    </row>
    <row r="20" spans="1:54" ht="60.75" customHeight="1">
      <c r="A20" s="364"/>
      <c r="B20" s="365"/>
      <c r="C20" s="365"/>
      <c r="D20" s="224" t="s">
        <v>234</v>
      </c>
      <c r="E20" s="224" t="s">
        <v>235</v>
      </c>
      <c r="F20" s="225" t="s">
        <v>236</v>
      </c>
      <c r="G20" s="224" t="s">
        <v>237</v>
      </c>
      <c r="H20" s="224" t="s">
        <v>238</v>
      </c>
      <c r="I20" s="224" t="s">
        <v>234</v>
      </c>
      <c r="J20" s="224" t="s">
        <v>235</v>
      </c>
      <c r="K20" s="225" t="s">
        <v>236</v>
      </c>
      <c r="L20" s="224" t="s">
        <v>237</v>
      </c>
      <c r="M20" s="224" t="s">
        <v>238</v>
      </c>
      <c r="N20" s="224" t="s">
        <v>234</v>
      </c>
      <c r="O20" s="224" t="s">
        <v>235</v>
      </c>
      <c r="P20" s="225" t="s">
        <v>236</v>
      </c>
      <c r="Q20" s="224" t="s">
        <v>237</v>
      </c>
      <c r="R20" s="224" t="s">
        <v>238</v>
      </c>
      <c r="S20" s="224" t="s">
        <v>234</v>
      </c>
      <c r="T20" s="224" t="s">
        <v>235</v>
      </c>
      <c r="U20" s="225" t="s">
        <v>236</v>
      </c>
      <c r="V20" s="224" t="s">
        <v>237</v>
      </c>
      <c r="W20" s="224" t="s">
        <v>238</v>
      </c>
      <c r="X20" s="224" t="s">
        <v>234</v>
      </c>
      <c r="Y20" s="224" t="s">
        <v>235</v>
      </c>
      <c r="Z20" s="225" t="s">
        <v>236</v>
      </c>
      <c r="AA20" s="224" t="s">
        <v>237</v>
      </c>
      <c r="AB20" s="224" t="s">
        <v>238</v>
      </c>
      <c r="AC20" s="224" t="s">
        <v>234</v>
      </c>
      <c r="AD20" s="322" t="s">
        <v>235</v>
      </c>
      <c r="AE20" s="323" t="s">
        <v>236</v>
      </c>
      <c r="AF20" s="322" t="s">
        <v>237</v>
      </c>
      <c r="AG20" s="322" t="s">
        <v>238</v>
      </c>
      <c r="AH20" s="322" t="s">
        <v>234</v>
      </c>
      <c r="AI20" s="322" t="s">
        <v>235</v>
      </c>
      <c r="AJ20" s="323" t="s">
        <v>236</v>
      </c>
      <c r="AK20" s="322" t="s">
        <v>237</v>
      </c>
      <c r="AL20" s="322" t="s">
        <v>238</v>
      </c>
      <c r="AM20" s="322" t="s">
        <v>234</v>
      </c>
      <c r="AN20" s="322" t="s">
        <v>235</v>
      </c>
      <c r="AO20" s="323" t="s">
        <v>236</v>
      </c>
      <c r="AP20" s="322" t="s">
        <v>237</v>
      </c>
      <c r="AQ20" s="224" t="s">
        <v>238</v>
      </c>
      <c r="AR20" s="324" t="s">
        <v>234</v>
      </c>
      <c r="AS20" s="224" t="s">
        <v>235</v>
      </c>
      <c r="AT20" s="323" t="s">
        <v>236</v>
      </c>
      <c r="AU20" s="224" t="s">
        <v>237</v>
      </c>
      <c r="AV20" s="224" t="s">
        <v>238</v>
      </c>
      <c r="AW20" s="324" t="s">
        <v>234</v>
      </c>
      <c r="AX20" s="224" t="s">
        <v>235</v>
      </c>
      <c r="AY20" s="323" t="s">
        <v>236</v>
      </c>
      <c r="AZ20" s="224" t="s">
        <v>237</v>
      </c>
      <c r="BA20" s="224" t="s">
        <v>238</v>
      </c>
      <c r="BB20" s="348"/>
    </row>
    <row r="21" spans="1:54" ht="15.75">
      <c r="A21" s="207">
        <v>1</v>
      </c>
      <c r="B21" s="271">
        <v>2</v>
      </c>
      <c r="C21" s="272">
        <v>3</v>
      </c>
      <c r="D21" s="273">
        <v>4</v>
      </c>
      <c r="E21" s="273">
        <v>5</v>
      </c>
      <c r="F21" s="273">
        <v>6</v>
      </c>
      <c r="G21" s="273">
        <v>7</v>
      </c>
      <c r="H21" s="273">
        <v>8</v>
      </c>
      <c r="I21" s="273">
        <v>9</v>
      </c>
      <c r="J21" s="273">
        <v>10</v>
      </c>
      <c r="K21" s="273">
        <v>11</v>
      </c>
      <c r="L21" s="273">
        <v>12</v>
      </c>
      <c r="M21" s="273">
        <v>13</v>
      </c>
      <c r="N21" s="273">
        <v>14</v>
      </c>
      <c r="O21" s="273">
        <v>15</v>
      </c>
      <c r="P21" s="273">
        <v>16</v>
      </c>
      <c r="Q21" s="273">
        <v>17</v>
      </c>
      <c r="R21" s="273">
        <v>18</v>
      </c>
      <c r="S21" s="273">
        <v>19</v>
      </c>
      <c r="T21" s="273">
        <v>20</v>
      </c>
      <c r="U21" s="273">
        <v>21</v>
      </c>
      <c r="V21" s="273">
        <v>22</v>
      </c>
      <c r="W21" s="273">
        <v>23</v>
      </c>
      <c r="X21" s="273">
        <v>24</v>
      </c>
      <c r="Y21" s="273">
        <v>25</v>
      </c>
      <c r="Z21" s="273">
        <v>26</v>
      </c>
      <c r="AA21" s="273">
        <v>27</v>
      </c>
      <c r="AB21" s="273">
        <v>28</v>
      </c>
      <c r="AC21" s="273">
        <v>29</v>
      </c>
      <c r="AD21" s="325">
        <v>30</v>
      </c>
      <c r="AE21" s="325">
        <v>31</v>
      </c>
      <c r="AF21" s="325">
        <v>32</v>
      </c>
      <c r="AG21" s="325">
        <v>33</v>
      </c>
      <c r="AH21" s="325">
        <v>34</v>
      </c>
      <c r="AI21" s="325">
        <v>35</v>
      </c>
      <c r="AJ21" s="325">
        <v>36</v>
      </c>
      <c r="AK21" s="325">
        <v>37</v>
      </c>
      <c r="AL21" s="325">
        <v>38</v>
      </c>
      <c r="AM21" s="325">
        <v>39</v>
      </c>
      <c r="AN21" s="325">
        <v>40</v>
      </c>
      <c r="AO21" s="325">
        <v>41</v>
      </c>
      <c r="AP21" s="325">
        <v>42</v>
      </c>
      <c r="AQ21" s="273">
        <v>43</v>
      </c>
      <c r="AR21" s="326">
        <v>44</v>
      </c>
      <c r="AS21" s="273">
        <v>45</v>
      </c>
      <c r="AT21" s="325">
        <v>46</v>
      </c>
      <c r="AU21" s="273">
        <v>47</v>
      </c>
      <c r="AV21" s="273">
        <v>48</v>
      </c>
      <c r="AW21" s="326">
        <v>49</v>
      </c>
      <c r="AX21" s="273">
        <v>50</v>
      </c>
      <c r="AY21" s="325">
        <v>51</v>
      </c>
      <c r="AZ21" s="273">
        <v>52</v>
      </c>
      <c r="BA21" s="273">
        <v>53</v>
      </c>
      <c r="BB21" s="272">
        <v>54</v>
      </c>
    </row>
    <row r="22" spans="1:54" ht="18.75">
      <c r="A22" s="32"/>
      <c r="B22" s="228" t="s">
        <v>32</v>
      </c>
      <c r="C22" s="268"/>
      <c r="D22" s="171">
        <f>I22+N22+S22+X22</f>
        <v>0</v>
      </c>
      <c r="E22" s="209">
        <f>E23+E33+E73</f>
        <v>0</v>
      </c>
      <c r="F22" s="171">
        <f>K22+P22+U22+Z22</f>
        <v>0</v>
      </c>
      <c r="G22" s="209">
        <f aca="true" t="shared" si="0" ref="G22:BA22">G23+G33+G73</f>
        <v>0</v>
      </c>
      <c r="H22" s="209">
        <f t="shared" si="0"/>
        <v>0</v>
      </c>
      <c r="I22" s="209">
        <f t="shared" si="0"/>
        <v>0</v>
      </c>
      <c r="J22" s="209">
        <f t="shared" si="0"/>
        <v>0</v>
      </c>
      <c r="K22" s="209">
        <f t="shared" si="0"/>
        <v>0</v>
      </c>
      <c r="L22" s="209">
        <f t="shared" si="0"/>
        <v>0</v>
      </c>
      <c r="M22" s="209">
        <f t="shared" si="0"/>
        <v>0</v>
      </c>
      <c r="N22" s="209">
        <f t="shared" si="0"/>
        <v>0</v>
      </c>
      <c r="O22" s="209">
        <f t="shared" si="0"/>
        <v>0</v>
      </c>
      <c r="P22" s="209">
        <f t="shared" si="0"/>
        <v>0</v>
      </c>
      <c r="Q22" s="209">
        <f t="shared" si="0"/>
        <v>0</v>
      </c>
      <c r="R22" s="209">
        <f t="shared" si="0"/>
        <v>0</v>
      </c>
      <c r="S22" s="209">
        <f t="shared" si="0"/>
        <v>0</v>
      </c>
      <c r="T22" s="209">
        <f t="shared" si="0"/>
        <v>0</v>
      </c>
      <c r="U22" s="209">
        <f t="shared" si="0"/>
        <v>0</v>
      </c>
      <c r="V22" s="209">
        <f t="shared" si="0"/>
        <v>0</v>
      </c>
      <c r="W22" s="209">
        <f t="shared" si="0"/>
        <v>0</v>
      </c>
      <c r="X22" s="209">
        <f t="shared" si="0"/>
        <v>0</v>
      </c>
      <c r="Y22" s="209">
        <f t="shared" si="0"/>
        <v>0</v>
      </c>
      <c r="Z22" s="209">
        <f t="shared" si="0"/>
        <v>0</v>
      </c>
      <c r="AA22" s="209">
        <f t="shared" si="0"/>
        <v>0</v>
      </c>
      <c r="AB22" s="209">
        <f t="shared" si="0"/>
        <v>0</v>
      </c>
      <c r="AC22" s="209">
        <f t="shared" si="0"/>
        <v>7.75</v>
      </c>
      <c r="AD22" s="327">
        <f t="shared" si="0"/>
        <v>0</v>
      </c>
      <c r="AE22" s="327">
        <f t="shared" si="0"/>
        <v>16.061</v>
      </c>
      <c r="AF22" s="327">
        <f t="shared" si="0"/>
        <v>0</v>
      </c>
      <c r="AG22" s="327">
        <f t="shared" si="0"/>
        <v>0</v>
      </c>
      <c r="AH22" s="327">
        <f t="shared" si="0"/>
        <v>0</v>
      </c>
      <c r="AI22" s="327">
        <f t="shared" si="0"/>
        <v>0</v>
      </c>
      <c r="AJ22" s="327">
        <f t="shared" si="0"/>
        <v>0.125</v>
      </c>
      <c r="AK22" s="327">
        <f t="shared" si="0"/>
        <v>0</v>
      </c>
      <c r="AL22" s="327">
        <f t="shared" si="0"/>
        <v>0</v>
      </c>
      <c r="AM22" s="327">
        <f t="shared" si="0"/>
        <v>0.85</v>
      </c>
      <c r="AN22" s="327">
        <f t="shared" si="0"/>
        <v>0</v>
      </c>
      <c r="AO22" s="327">
        <f t="shared" si="0"/>
        <v>0.83</v>
      </c>
      <c r="AP22" s="327">
        <f t="shared" si="0"/>
        <v>0</v>
      </c>
      <c r="AQ22" s="209">
        <f t="shared" si="0"/>
        <v>0</v>
      </c>
      <c r="AR22" s="327">
        <f t="shared" si="0"/>
        <v>5.87</v>
      </c>
      <c r="AS22" s="209">
        <f t="shared" si="0"/>
        <v>0</v>
      </c>
      <c r="AT22" s="327">
        <f t="shared" si="0"/>
        <v>11.626999999999999</v>
      </c>
      <c r="AU22" s="209">
        <f t="shared" si="0"/>
        <v>0</v>
      </c>
      <c r="AV22" s="209">
        <f t="shared" si="0"/>
        <v>0</v>
      </c>
      <c r="AW22" s="327">
        <f t="shared" si="0"/>
        <v>1.03</v>
      </c>
      <c r="AX22" s="209">
        <f t="shared" si="0"/>
        <v>0</v>
      </c>
      <c r="AY22" s="327">
        <f t="shared" si="0"/>
        <v>3.479</v>
      </c>
      <c r="AZ22" s="209">
        <f t="shared" si="0"/>
        <v>0</v>
      </c>
      <c r="BA22" s="209">
        <f t="shared" si="0"/>
        <v>0.29012914</v>
      </c>
      <c r="BB22" s="231"/>
    </row>
    <row r="23" spans="1:54" ht="18.75">
      <c r="A23" s="135" t="s">
        <v>34</v>
      </c>
      <c r="B23" s="230" t="s">
        <v>35</v>
      </c>
      <c r="C23" s="268"/>
      <c r="D23" s="171">
        <f aca="true" t="shared" si="1" ref="D23:AB23">SUM(D24:D24)</f>
        <v>0</v>
      </c>
      <c r="E23" s="171">
        <f t="shared" si="1"/>
        <v>0</v>
      </c>
      <c r="F23" s="171">
        <f t="shared" si="1"/>
        <v>0</v>
      </c>
      <c r="G23" s="171">
        <f t="shared" si="1"/>
        <v>0</v>
      </c>
      <c r="H23" s="171">
        <f t="shared" si="1"/>
        <v>0</v>
      </c>
      <c r="I23" s="171">
        <f t="shared" si="1"/>
        <v>0</v>
      </c>
      <c r="J23" s="171">
        <f t="shared" si="1"/>
        <v>0</v>
      </c>
      <c r="K23" s="171">
        <f t="shared" si="1"/>
        <v>0</v>
      </c>
      <c r="L23" s="171">
        <f t="shared" si="1"/>
        <v>0</v>
      </c>
      <c r="M23" s="171">
        <f t="shared" si="1"/>
        <v>0</v>
      </c>
      <c r="N23" s="171">
        <f t="shared" si="1"/>
        <v>0</v>
      </c>
      <c r="O23" s="171">
        <f t="shared" si="1"/>
        <v>0</v>
      </c>
      <c r="P23" s="171">
        <f t="shared" si="1"/>
        <v>0</v>
      </c>
      <c r="Q23" s="171">
        <f t="shared" si="1"/>
        <v>0</v>
      </c>
      <c r="R23" s="171">
        <f t="shared" si="1"/>
        <v>0</v>
      </c>
      <c r="S23" s="171">
        <f t="shared" si="1"/>
        <v>0</v>
      </c>
      <c r="T23" s="171">
        <f t="shared" si="1"/>
        <v>0</v>
      </c>
      <c r="U23" s="171">
        <f t="shared" si="1"/>
        <v>0</v>
      </c>
      <c r="V23" s="171">
        <f t="shared" si="1"/>
        <v>0</v>
      </c>
      <c r="W23" s="171">
        <f t="shared" si="1"/>
        <v>0</v>
      </c>
      <c r="X23" s="171">
        <f t="shared" si="1"/>
        <v>0</v>
      </c>
      <c r="Y23" s="171">
        <f t="shared" si="1"/>
        <v>0</v>
      </c>
      <c r="Z23" s="171">
        <f t="shared" si="1"/>
        <v>0</v>
      </c>
      <c r="AA23" s="171">
        <f t="shared" si="1"/>
        <v>0</v>
      </c>
      <c r="AB23" s="171">
        <f t="shared" si="1"/>
        <v>0</v>
      </c>
      <c r="AC23" s="171">
        <f>SUM(AC24:AC32)</f>
        <v>0</v>
      </c>
      <c r="AD23" s="328">
        <f>SUM(AD24:AD24)</f>
        <v>0</v>
      </c>
      <c r="AE23" s="328">
        <f>SUM(AE24:AE32)</f>
        <v>2.8569999999999998</v>
      </c>
      <c r="AF23" s="328">
        <f aca="true" t="shared" si="2" ref="AF23:AV23">SUM(AF24:AF24)</f>
        <v>0</v>
      </c>
      <c r="AG23" s="328">
        <f t="shared" si="2"/>
        <v>0</v>
      </c>
      <c r="AH23" s="328">
        <f t="shared" si="2"/>
        <v>0</v>
      </c>
      <c r="AI23" s="328">
        <f t="shared" si="2"/>
        <v>0</v>
      </c>
      <c r="AJ23" s="328">
        <f t="shared" si="2"/>
        <v>0.1</v>
      </c>
      <c r="AK23" s="328">
        <f t="shared" si="2"/>
        <v>0</v>
      </c>
      <c r="AL23" s="328">
        <f t="shared" si="2"/>
        <v>0</v>
      </c>
      <c r="AM23" s="328">
        <f t="shared" si="2"/>
        <v>0</v>
      </c>
      <c r="AN23" s="328">
        <f t="shared" si="2"/>
        <v>0</v>
      </c>
      <c r="AO23" s="328">
        <f t="shared" si="2"/>
        <v>0</v>
      </c>
      <c r="AP23" s="328">
        <f t="shared" si="2"/>
        <v>0</v>
      </c>
      <c r="AQ23" s="171">
        <f t="shared" si="2"/>
        <v>0</v>
      </c>
      <c r="AR23" s="328">
        <f t="shared" si="2"/>
        <v>0</v>
      </c>
      <c r="AS23" s="171">
        <f t="shared" si="2"/>
        <v>0</v>
      </c>
      <c r="AT23" s="328">
        <f>SUM(AT24:AT32)</f>
        <v>1.0070000000000001</v>
      </c>
      <c r="AU23" s="171">
        <f t="shared" si="2"/>
        <v>0</v>
      </c>
      <c r="AV23" s="171">
        <f t="shared" si="2"/>
        <v>0</v>
      </c>
      <c r="AW23" s="328">
        <f>SUM(AW24:AW32)</f>
        <v>0</v>
      </c>
      <c r="AX23" s="171">
        <f>SUM(AX24:AX24)</f>
        <v>0</v>
      </c>
      <c r="AY23" s="328">
        <f>SUM(AY24:AY32)</f>
        <v>1.75</v>
      </c>
      <c r="AZ23" s="171">
        <f>SUM(AZ24:AZ24)</f>
        <v>0</v>
      </c>
      <c r="BA23" s="171">
        <f>SUM(BA24:BA24)</f>
        <v>0</v>
      </c>
      <c r="BB23" s="231"/>
    </row>
    <row r="24" spans="1:54" ht="31.5">
      <c r="A24" s="45" t="s">
        <v>155</v>
      </c>
      <c r="B24" s="228" t="s">
        <v>195</v>
      </c>
      <c r="C24" s="268"/>
      <c r="D24" s="171">
        <f aca="true" t="shared" si="3" ref="D24:D32">I24+N24+S24+X24</f>
        <v>0</v>
      </c>
      <c r="E24" s="171">
        <f aca="true" t="shared" si="4" ref="E24:E32">J24+O24+T24+Y24</f>
        <v>0</v>
      </c>
      <c r="F24" s="171">
        <f aca="true" t="shared" si="5" ref="F24:F32">K24+P24+U24+Z24</f>
        <v>0</v>
      </c>
      <c r="G24" s="171">
        <f aca="true" t="shared" si="6" ref="G24:G32">L24+Q24+V24+AA24</f>
        <v>0</v>
      </c>
      <c r="H24" s="171">
        <f aca="true" t="shared" si="7" ref="H24:H32">M24+R24+W24+AB24</f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0</v>
      </c>
      <c r="T24" s="171">
        <v>0</v>
      </c>
      <c r="U24" s="171">
        <v>0</v>
      </c>
      <c r="V24" s="171">
        <v>0</v>
      </c>
      <c r="W24" s="171">
        <v>0</v>
      </c>
      <c r="X24" s="171">
        <v>0</v>
      </c>
      <c r="Y24" s="171">
        <v>0</v>
      </c>
      <c r="Z24" s="171">
        <v>0</v>
      </c>
      <c r="AA24" s="171">
        <v>0</v>
      </c>
      <c r="AB24" s="171">
        <v>0</v>
      </c>
      <c r="AC24" s="171">
        <f aca="true" t="shared" si="8" ref="AC24:AC32">AH24+AM24+AR24+AW24</f>
        <v>0</v>
      </c>
      <c r="AD24" s="328">
        <f aca="true" t="shared" si="9" ref="AD24:AD32">AI24+AN24+AS24+AX24</f>
        <v>0</v>
      </c>
      <c r="AE24" s="328">
        <f aca="true" t="shared" si="10" ref="AE24:AE32">AJ24+AO24+AT24+AY24</f>
        <v>0.1</v>
      </c>
      <c r="AF24" s="328">
        <f aca="true" t="shared" si="11" ref="AF24:AF32">AK24+AP24+AU24+AZ24</f>
        <v>0</v>
      </c>
      <c r="AG24" s="328">
        <f aca="true" t="shared" si="12" ref="AG24:AG32">AL24+AQ24+AV24+BA24</f>
        <v>0</v>
      </c>
      <c r="AH24" s="328">
        <v>0</v>
      </c>
      <c r="AI24" s="328">
        <v>0</v>
      </c>
      <c r="AJ24" s="328">
        <v>0.1</v>
      </c>
      <c r="AK24" s="328">
        <v>0</v>
      </c>
      <c r="AL24" s="328">
        <v>0</v>
      </c>
      <c r="AM24" s="328">
        <v>0</v>
      </c>
      <c r="AN24" s="328">
        <v>0</v>
      </c>
      <c r="AO24" s="328">
        <v>0</v>
      </c>
      <c r="AP24" s="328">
        <v>0</v>
      </c>
      <c r="AQ24" s="171">
        <v>0</v>
      </c>
      <c r="AR24" s="328">
        <v>0</v>
      </c>
      <c r="AS24" s="171">
        <v>0</v>
      </c>
      <c r="AT24" s="328">
        <v>0</v>
      </c>
      <c r="AU24" s="171">
        <v>0</v>
      </c>
      <c r="AV24" s="171">
        <v>0</v>
      </c>
      <c r="AW24" s="328">
        <v>0</v>
      </c>
      <c r="AX24" s="171">
        <v>0</v>
      </c>
      <c r="AY24" s="328">
        <v>0</v>
      </c>
      <c r="AZ24" s="171">
        <v>0</v>
      </c>
      <c r="BA24" s="171">
        <v>0</v>
      </c>
      <c r="BB24" s="231"/>
    </row>
    <row r="25" spans="1:54" ht="18.75">
      <c r="A25" s="45"/>
      <c r="B25" s="228" t="s">
        <v>157</v>
      </c>
      <c r="C25" s="268"/>
      <c r="D25" s="171">
        <f t="shared" si="3"/>
        <v>0</v>
      </c>
      <c r="E25" s="171">
        <f t="shared" si="4"/>
        <v>0</v>
      </c>
      <c r="F25" s="171">
        <f t="shared" si="5"/>
        <v>0</v>
      </c>
      <c r="G25" s="171">
        <f t="shared" si="6"/>
        <v>0</v>
      </c>
      <c r="H25" s="171">
        <f t="shared" si="7"/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71">
        <v>0</v>
      </c>
      <c r="V25" s="171">
        <v>0</v>
      </c>
      <c r="W25" s="171">
        <v>0</v>
      </c>
      <c r="X25" s="171">
        <v>0</v>
      </c>
      <c r="Y25" s="171">
        <v>0</v>
      </c>
      <c r="Z25" s="171">
        <v>0</v>
      </c>
      <c r="AA25" s="171">
        <v>0</v>
      </c>
      <c r="AB25" s="171">
        <v>0</v>
      </c>
      <c r="AC25" s="171">
        <f t="shared" si="8"/>
        <v>0</v>
      </c>
      <c r="AD25" s="328">
        <f t="shared" si="9"/>
        <v>0</v>
      </c>
      <c r="AE25" s="328">
        <f t="shared" si="10"/>
        <v>0.36</v>
      </c>
      <c r="AF25" s="328">
        <f t="shared" si="11"/>
        <v>0</v>
      </c>
      <c r="AG25" s="328">
        <f t="shared" si="12"/>
        <v>0</v>
      </c>
      <c r="AH25" s="328">
        <v>0</v>
      </c>
      <c r="AI25" s="328">
        <v>0</v>
      </c>
      <c r="AJ25" s="328">
        <v>0</v>
      </c>
      <c r="AK25" s="328">
        <v>0</v>
      </c>
      <c r="AL25" s="328">
        <v>0</v>
      </c>
      <c r="AM25" s="328">
        <v>0</v>
      </c>
      <c r="AN25" s="328">
        <v>0</v>
      </c>
      <c r="AO25" s="328">
        <v>0</v>
      </c>
      <c r="AP25" s="328">
        <v>0</v>
      </c>
      <c r="AQ25" s="171">
        <v>0</v>
      </c>
      <c r="AR25" s="328">
        <v>0</v>
      </c>
      <c r="AS25" s="171">
        <v>0</v>
      </c>
      <c r="AT25" s="328">
        <v>0.36</v>
      </c>
      <c r="AU25" s="171">
        <v>0</v>
      </c>
      <c r="AV25" s="171">
        <v>0</v>
      </c>
      <c r="AW25" s="328">
        <v>0</v>
      </c>
      <c r="AX25" s="171">
        <v>0</v>
      </c>
      <c r="AY25" s="328">
        <v>0</v>
      </c>
      <c r="AZ25" s="171">
        <v>0</v>
      </c>
      <c r="BA25" s="171">
        <v>0</v>
      </c>
      <c r="BB25" s="231"/>
    </row>
    <row r="26" spans="1:54" ht="31.5">
      <c r="A26" s="45"/>
      <c r="B26" s="228" t="s">
        <v>42</v>
      </c>
      <c r="C26" s="268"/>
      <c r="D26" s="171">
        <f t="shared" si="3"/>
        <v>0</v>
      </c>
      <c r="E26" s="171">
        <f t="shared" si="4"/>
        <v>0</v>
      </c>
      <c r="F26" s="171">
        <f t="shared" si="5"/>
        <v>0</v>
      </c>
      <c r="G26" s="171">
        <f t="shared" si="6"/>
        <v>0</v>
      </c>
      <c r="H26" s="171">
        <f t="shared" si="7"/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v>0</v>
      </c>
      <c r="V26" s="171">
        <v>0</v>
      </c>
      <c r="W26" s="171">
        <v>0</v>
      </c>
      <c r="X26" s="171">
        <v>0</v>
      </c>
      <c r="Y26" s="171">
        <v>0</v>
      </c>
      <c r="Z26" s="171">
        <v>0</v>
      </c>
      <c r="AA26" s="171">
        <v>0</v>
      </c>
      <c r="AB26" s="171">
        <v>0</v>
      </c>
      <c r="AC26" s="171">
        <f t="shared" si="8"/>
        <v>0</v>
      </c>
      <c r="AD26" s="328">
        <f t="shared" si="9"/>
        <v>0</v>
      </c>
      <c r="AE26" s="328">
        <f t="shared" si="10"/>
        <v>0.12</v>
      </c>
      <c r="AF26" s="328">
        <f t="shared" si="11"/>
        <v>0</v>
      </c>
      <c r="AG26" s="328">
        <f t="shared" si="12"/>
        <v>0</v>
      </c>
      <c r="AH26" s="328">
        <v>0</v>
      </c>
      <c r="AI26" s="328">
        <v>0</v>
      </c>
      <c r="AJ26" s="328">
        <v>0</v>
      </c>
      <c r="AK26" s="328">
        <v>0</v>
      </c>
      <c r="AL26" s="328">
        <v>0</v>
      </c>
      <c r="AM26" s="328">
        <v>0</v>
      </c>
      <c r="AN26" s="328">
        <v>0</v>
      </c>
      <c r="AO26" s="328">
        <v>0</v>
      </c>
      <c r="AP26" s="328">
        <v>0</v>
      </c>
      <c r="AQ26" s="171">
        <v>0</v>
      </c>
      <c r="AR26" s="328">
        <v>0</v>
      </c>
      <c r="AS26" s="171">
        <v>0</v>
      </c>
      <c r="AT26" s="328">
        <v>0.12</v>
      </c>
      <c r="AU26" s="171">
        <v>0</v>
      </c>
      <c r="AV26" s="171">
        <v>0</v>
      </c>
      <c r="AW26" s="328">
        <v>0</v>
      </c>
      <c r="AX26" s="171">
        <v>0</v>
      </c>
      <c r="AY26" s="328">
        <v>0</v>
      </c>
      <c r="AZ26" s="171">
        <v>0</v>
      </c>
      <c r="BA26" s="171">
        <v>0</v>
      </c>
      <c r="BB26" s="231"/>
    </row>
    <row r="27" spans="1:54" ht="31.5">
      <c r="A27" s="45"/>
      <c r="B27" s="228" t="s">
        <v>44</v>
      </c>
      <c r="C27" s="268"/>
      <c r="D27" s="171">
        <f t="shared" si="3"/>
        <v>0</v>
      </c>
      <c r="E27" s="171">
        <f t="shared" si="4"/>
        <v>0</v>
      </c>
      <c r="F27" s="171">
        <f t="shared" si="5"/>
        <v>0</v>
      </c>
      <c r="G27" s="171">
        <f t="shared" si="6"/>
        <v>0</v>
      </c>
      <c r="H27" s="171">
        <f t="shared" si="7"/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  <c r="R27" s="171">
        <v>0</v>
      </c>
      <c r="S27" s="171">
        <v>0</v>
      </c>
      <c r="T27" s="171">
        <v>0</v>
      </c>
      <c r="U27" s="171">
        <v>0</v>
      </c>
      <c r="V27" s="171">
        <v>0</v>
      </c>
      <c r="W27" s="171">
        <v>0</v>
      </c>
      <c r="X27" s="171">
        <v>0</v>
      </c>
      <c r="Y27" s="171">
        <v>0</v>
      </c>
      <c r="Z27" s="171">
        <v>0</v>
      </c>
      <c r="AA27" s="171">
        <v>0</v>
      </c>
      <c r="AB27" s="171">
        <v>0</v>
      </c>
      <c r="AC27" s="171">
        <f t="shared" si="8"/>
        <v>0</v>
      </c>
      <c r="AD27" s="328">
        <f t="shared" si="9"/>
        <v>0</v>
      </c>
      <c r="AE27" s="328">
        <f t="shared" si="10"/>
        <v>0.527</v>
      </c>
      <c r="AF27" s="328">
        <f t="shared" si="11"/>
        <v>0</v>
      </c>
      <c r="AG27" s="328">
        <f t="shared" si="12"/>
        <v>0</v>
      </c>
      <c r="AH27" s="328">
        <v>0</v>
      </c>
      <c r="AI27" s="328">
        <v>0</v>
      </c>
      <c r="AJ27" s="328">
        <v>0</v>
      </c>
      <c r="AK27" s="328">
        <v>0</v>
      </c>
      <c r="AL27" s="328">
        <v>0</v>
      </c>
      <c r="AM27" s="328">
        <v>0</v>
      </c>
      <c r="AN27" s="328">
        <v>0</v>
      </c>
      <c r="AO27" s="328">
        <v>0</v>
      </c>
      <c r="AP27" s="328">
        <v>0</v>
      </c>
      <c r="AQ27" s="171">
        <v>0</v>
      </c>
      <c r="AR27" s="328">
        <v>0</v>
      </c>
      <c r="AS27" s="171">
        <v>0</v>
      </c>
      <c r="AT27" s="328">
        <v>0.527</v>
      </c>
      <c r="AU27" s="171">
        <v>0</v>
      </c>
      <c r="AV27" s="171">
        <v>0</v>
      </c>
      <c r="AW27" s="328">
        <v>0</v>
      </c>
      <c r="AX27" s="171">
        <v>0</v>
      </c>
      <c r="AY27" s="328">
        <v>0</v>
      </c>
      <c r="AZ27" s="171">
        <v>0</v>
      </c>
      <c r="BA27" s="171">
        <v>0</v>
      </c>
      <c r="BB27" s="231"/>
    </row>
    <row r="28" spans="1:54" ht="31.5">
      <c r="A28" s="45"/>
      <c r="B28" s="228" t="s">
        <v>44</v>
      </c>
      <c r="C28" s="268"/>
      <c r="D28" s="171">
        <f t="shared" si="3"/>
        <v>0</v>
      </c>
      <c r="E28" s="171">
        <f t="shared" si="4"/>
        <v>0</v>
      </c>
      <c r="F28" s="171">
        <f t="shared" si="5"/>
        <v>0</v>
      </c>
      <c r="G28" s="171">
        <f t="shared" si="6"/>
        <v>0</v>
      </c>
      <c r="H28" s="171">
        <f t="shared" si="7"/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  <c r="O28" s="171">
        <v>0</v>
      </c>
      <c r="P28" s="171">
        <v>0</v>
      </c>
      <c r="Q28" s="171">
        <v>0</v>
      </c>
      <c r="R28" s="171">
        <v>0</v>
      </c>
      <c r="S28" s="171">
        <v>0</v>
      </c>
      <c r="T28" s="171">
        <v>0</v>
      </c>
      <c r="U28" s="171">
        <v>0</v>
      </c>
      <c r="V28" s="171">
        <v>0</v>
      </c>
      <c r="W28" s="171">
        <v>0</v>
      </c>
      <c r="X28" s="171">
        <v>0</v>
      </c>
      <c r="Y28" s="171">
        <v>0</v>
      </c>
      <c r="Z28" s="171">
        <v>0</v>
      </c>
      <c r="AA28" s="171">
        <v>0</v>
      </c>
      <c r="AB28" s="171">
        <v>0</v>
      </c>
      <c r="AC28" s="171">
        <f t="shared" si="8"/>
        <v>0</v>
      </c>
      <c r="AD28" s="328">
        <f t="shared" si="9"/>
        <v>0</v>
      </c>
      <c r="AE28" s="328">
        <f t="shared" si="10"/>
        <v>0.76</v>
      </c>
      <c r="AF28" s="328">
        <f t="shared" si="11"/>
        <v>0</v>
      </c>
      <c r="AG28" s="328">
        <f t="shared" si="12"/>
        <v>0</v>
      </c>
      <c r="AH28" s="328">
        <v>0</v>
      </c>
      <c r="AI28" s="328">
        <v>0</v>
      </c>
      <c r="AJ28" s="328">
        <v>0</v>
      </c>
      <c r="AK28" s="328">
        <v>0</v>
      </c>
      <c r="AL28" s="328">
        <v>0</v>
      </c>
      <c r="AM28" s="328">
        <v>0</v>
      </c>
      <c r="AN28" s="328">
        <v>0</v>
      </c>
      <c r="AO28" s="328">
        <v>0</v>
      </c>
      <c r="AP28" s="328">
        <v>0</v>
      </c>
      <c r="AQ28" s="171">
        <v>0</v>
      </c>
      <c r="AR28" s="328">
        <v>0</v>
      </c>
      <c r="AS28" s="171">
        <v>0</v>
      </c>
      <c r="AT28" s="328">
        <v>0</v>
      </c>
      <c r="AU28" s="171">
        <v>0</v>
      </c>
      <c r="AV28" s="171">
        <v>0</v>
      </c>
      <c r="AW28" s="328">
        <v>0</v>
      </c>
      <c r="AX28" s="171">
        <v>0</v>
      </c>
      <c r="AY28" s="328">
        <v>0.76</v>
      </c>
      <c r="AZ28" s="171">
        <v>0</v>
      </c>
      <c r="BA28" s="171">
        <v>0</v>
      </c>
      <c r="BB28" s="231"/>
    </row>
    <row r="29" spans="1:54" ht="31.5">
      <c r="A29" s="45"/>
      <c r="B29" s="228" t="s">
        <v>46</v>
      </c>
      <c r="C29" s="268"/>
      <c r="D29" s="171">
        <f t="shared" si="3"/>
        <v>0</v>
      </c>
      <c r="E29" s="171">
        <f t="shared" si="4"/>
        <v>0</v>
      </c>
      <c r="F29" s="171">
        <f t="shared" si="5"/>
        <v>0</v>
      </c>
      <c r="G29" s="171">
        <f t="shared" si="6"/>
        <v>0</v>
      </c>
      <c r="H29" s="171">
        <f t="shared" si="7"/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1">
        <v>0</v>
      </c>
      <c r="T29" s="171">
        <v>0</v>
      </c>
      <c r="U29" s="171">
        <v>0</v>
      </c>
      <c r="V29" s="171">
        <v>0</v>
      </c>
      <c r="W29" s="171">
        <v>0</v>
      </c>
      <c r="X29" s="171">
        <v>0</v>
      </c>
      <c r="Y29" s="171">
        <v>0</v>
      </c>
      <c r="Z29" s="171">
        <v>0</v>
      </c>
      <c r="AA29" s="171">
        <v>0</v>
      </c>
      <c r="AB29" s="171">
        <v>0</v>
      </c>
      <c r="AC29" s="171">
        <f t="shared" si="8"/>
        <v>0</v>
      </c>
      <c r="AD29" s="328">
        <f t="shared" si="9"/>
        <v>0</v>
      </c>
      <c r="AE29" s="328">
        <f t="shared" si="10"/>
        <v>0.12</v>
      </c>
      <c r="AF29" s="328">
        <f t="shared" si="11"/>
        <v>0</v>
      </c>
      <c r="AG29" s="328">
        <f t="shared" si="12"/>
        <v>0</v>
      </c>
      <c r="AH29" s="328">
        <v>0</v>
      </c>
      <c r="AI29" s="328">
        <v>0</v>
      </c>
      <c r="AJ29" s="328">
        <v>0</v>
      </c>
      <c r="AK29" s="328">
        <v>0</v>
      </c>
      <c r="AL29" s="328">
        <v>0</v>
      </c>
      <c r="AM29" s="328">
        <v>0</v>
      </c>
      <c r="AN29" s="328">
        <v>0</v>
      </c>
      <c r="AO29" s="328">
        <v>0</v>
      </c>
      <c r="AP29" s="328">
        <v>0</v>
      </c>
      <c r="AQ29" s="171">
        <v>0</v>
      </c>
      <c r="AR29" s="328">
        <v>0</v>
      </c>
      <c r="AS29" s="171">
        <v>0</v>
      </c>
      <c r="AT29" s="328">
        <v>0</v>
      </c>
      <c r="AU29" s="171">
        <v>0</v>
      </c>
      <c r="AV29" s="171">
        <v>0</v>
      </c>
      <c r="AW29" s="328">
        <v>0</v>
      </c>
      <c r="AX29" s="171">
        <v>0</v>
      </c>
      <c r="AY29" s="328">
        <v>0.12</v>
      </c>
      <c r="AZ29" s="171">
        <v>0</v>
      </c>
      <c r="BA29" s="171">
        <v>0</v>
      </c>
      <c r="BB29" s="231"/>
    </row>
    <row r="30" spans="1:54" ht="31.5">
      <c r="A30" s="45"/>
      <c r="B30" s="270" t="s">
        <v>48</v>
      </c>
      <c r="C30" s="268"/>
      <c r="D30" s="171">
        <f t="shared" si="3"/>
        <v>0</v>
      </c>
      <c r="E30" s="171">
        <f t="shared" si="4"/>
        <v>0</v>
      </c>
      <c r="F30" s="171">
        <f t="shared" si="5"/>
        <v>0</v>
      </c>
      <c r="G30" s="171">
        <f t="shared" si="6"/>
        <v>0</v>
      </c>
      <c r="H30" s="171">
        <f t="shared" si="7"/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1">
        <f t="shared" si="8"/>
        <v>0</v>
      </c>
      <c r="AD30" s="328">
        <f t="shared" si="9"/>
        <v>0</v>
      </c>
      <c r="AE30" s="328">
        <f t="shared" si="10"/>
        <v>0.3</v>
      </c>
      <c r="AF30" s="328">
        <f t="shared" si="11"/>
        <v>0</v>
      </c>
      <c r="AG30" s="328">
        <f t="shared" si="12"/>
        <v>0</v>
      </c>
      <c r="AH30" s="328">
        <v>0</v>
      </c>
      <c r="AI30" s="328">
        <v>0</v>
      </c>
      <c r="AJ30" s="328">
        <v>0</v>
      </c>
      <c r="AK30" s="328">
        <v>0</v>
      </c>
      <c r="AL30" s="328">
        <v>0</v>
      </c>
      <c r="AM30" s="328">
        <v>0</v>
      </c>
      <c r="AN30" s="328">
        <v>0</v>
      </c>
      <c r="AO30" s="328">
        <v>0</v>
      </c>
      <c r="AP30" s="328">
        <v>0</v>
      </c>
      <c r="AQ30" s="171">
        <v>0</v>
      </c>
      <c r="AR30" s="328">
        <v>0</v>
      </c>
      <c r="AS30" s="171">
        <v>0</v>
      </c>
      <c r="AT30" s="328">
        <v>0</v>
      </c>
      <c r="AU30" s="171">
        <v>0</v>
      </c>
      <c r="AV30" s="171">
        <v>0</v>
      </c>
      <c r="AW30" s="328">
        <v>0</v>
      </c>
      <c r="AX30" s="171">
        <v>0</v>
      </c>
      <c r="AY30" s="328">
        <v>0.3</v>
      </c>
      <c r="AZ30" s="171">
        <v>0</v>
      </c>
      <c r="BA30" s="171">
        <v>0</v>
      </c>
      <c r="BB30" s="231"/>
    </row>
    <row r="31" spans="1:54" ht="31.5">
      <c r="A31" s="45"/>
      <c r="B31" s="270" t="s">
        <v>50</v>
      </c>
      <c r="C31" s="268"/>
      <c r="D31" s="171">
        <f t="shared" si="3"/>
        <v>0</v>
      </c>
      <c r="E31" s="171">
        <f t="shared" si="4"/>
        <v>0</v>
      </c>
      <c r="F31" s="171">
        <f t="shared" si="5"/>
        <v>0</v>
      </c>
      <c r="G31" s="171">
        <f t="shared" si="6"/>
        <v>0</v>
      </c>
      <c r="H31" s="171">
        <f t="shared" si="7"/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0</v>
      </c>
      <c r="S31" s="171">
        <v>0</v>
      </c>
      <c r="T31" s="171">
        <v>0</v>
      </c>
      <c r="U31" s="171">
        <v>0</v>
      </c>
      <c r="V31" s="171">
        <v>0</v>
      </c>
      <c r="W31" s="171">
        <v>0</v>
      </c>
      <c r="X31" s="171">
        <v>0</v>
      </c>
      <c r="Y31" s="171">
        <v>0</v>
      </c>
      <c r="Z31" s="171">
        <v>0</v>
      </c>
      <c r="AA31" s="171">
        <v>0</v>
      </c>
      <c r="AB31" s="171">
        <v>0</v>
      </c>
      <c r="AC31" s="171">
        <f t="shared" si="8"/>
        <v>0</v>
      </c>
      <c r="AD31" s="328">
        <f t="shared" si="9"/>
        <v>0</v>
      </c>
      <c r="AE31" s="328">
        <f t="shared" si="10"/>
        <v>0.32</v>
      </c>
      <c r="AF31" s="328">
        <f t="shared" si="11"/>
        <v>0</v>
      </c>
      <c r="AG31" s="328">
        <f t="shared" si="12"/>
        <v>0</v>
      </c>
      <c r="AH31" s="328">
        <v>0</v>
      </c>
      <c r="AI31" s="328">
        <v>0</v>
      </c>
      <c r="AJ31" s="328">
        <v>0</v>
      </c>
      <c r="AK31" s="328">
        <v>0</v>
      </c>
      <c r="AL31" s="328">
        <v>0</v>
      </c>
      <c r="AM31" s="328">
        <v>0</v>
      </c>
      <c r="AN31" s="328">
        <v>0</v>
      </c>
      <c r="AO31" s="328">
        <v>0</v>
      </c>
      <c r="AP31" s="328">
        <v>0</v>
      </c>
      <c r="AQ31" s="171">
        <v>0</v>
      </c>
      <c r="AR31" s="328">
        <v>0</v>
      </c>
      <c r="AS31" s="171">
        <v>0</v>
      </c>
      <c r="AT31" s="328">
        <v>0</v>
      </c>
      <c r="AU31" s="171">
        <v>0</v>
      </c>
      <c r="AV31" s="171">
        <v>0</v>
      </c>
      <c r="AW31" s="328">
        <v>0</v>
      </c>
      <c r="AX31" s="171">
        <v>0</v>
      </c>
      <c r="AY31" s="328">
        <v>0.32</v>
      </c>
      <c r="AZ31" s="171">
        <v>0</v>
      </c>
      <c r="BA31" s="171">
        <v>0</v>
      </c>
      <c r="BB31" s="231"/>
    </row>
    <row r="32" spans="1:54" ht="31.5">
      <c r="A32" s="45"/>
      <c r="B32" s="270" t="s">
        <v>52</v>
      </c>
      <c r="C32" s="268"/>
      <c r="D32" s="171">
        <f t="shared" si="3"/>
        <v>0</v>
      </c>
      <c r="E32" s="171">
        <f t="shared" si="4"/>
        <v>0</v>
      </c>
      <c r="F32" s="171">
        <f t="shared" si="5"/>
        <v>0</v>
      </c>
      <c r="G32" s="171">
        <f t="shared" si="6"/>
        <v>0</v>
      </c>
      <c r="H32" s="171">
        <f t="shared" si="7"/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71">
        <v>0</v>
      </c>
      <c r="V32" s="171">
        <v>0</v>
      </c>
      <c r="W32" s="171">
        <v>0</v>
      </c>
      <c r="X32" s="171">
        <v>0</v>
      </c>
      <c r="Y32" s="171">
        <v>0</v>
      </c>
      <c r="Z32" s="171">
        <v>0</v>
      </c>
      <c r="AA32" s="171">
        <v>0</v>
      </c>
      <c r="AB32" s="171">
        <v>0</v>
      </c>
      <c r="AC32" s="171">
        <f t="shared" si="8"/>
        <v>0</v>
      </c>
      <c r="AD32" s="328">
        <f t="shared" si="9"/>
        <v>0</v>
      </c>
      <c r="AE32" s="328">
        <f t="shared" si="10"/>
        <v>0.25</v>
      </c>
      <c r="AF32" s="328">
        <f t="shared" si="11"/>
        <v>0</v>
      </c>
      <c r="AG32" s="328">
        <f t="shared" si="12"/>
        <v>0</v>
      </c>
      <c r="AH32" s="328">
        <v>0</v>
      </c>
      <c r="AI32" s="328">
        <v>0</v>
      </c>
      <c r="AJ32" s="328">
        <v>0</v>
      </c>
      <c r="AK32" s="328">
        <v>0</v>
      </c>
      <c r="AL32" s="328">
        <v>0</v>
      </c>
      <c r="AM32" s="328">
        <v>0</v>
      </c>
      <c r="AN32" s="328">
        <v>0</v>
      </c>
      <c r="AO32" s="328">
        <v>0</v>
      </c>
      <c r="AP32" s="328">
        <v>0</v>
      </c>
      <c r="AQ32" s="171">
        <v>0</v>
      </c>
      <c r="AR32" s="328">
        <v>0</v>
      </c>
      <c r="AS32" s="171">
        <v>0</v>
      </c>
      <c r="AT32" s="328">
        <v>0</v>
      </c>
      <c r="AU32" s="171">
        <v>0</v>
      </c>
      <c r="AV32" s="171">
        <v>0</v>
      </c>
      <c r="AW32" s="328">
        <v>0</v>
      </c>
      <c r="AX32" s="171">
        <v>0</v>
      </c>
      <c r="AY32" s="328">
        <v>0.25</v>
      </c>
      <c r="AZ32" s="171">
        <v>0</v>
      </c>
      <c r="BA32" s="171">
        <v>0</v>
      </c>
      <c r="BB32" s="231"/>
    </row>
    <row r="33" spans="1:54" ht="31.5">
      <c r="A33" s="49" t="s">
        <v>53</v>
      </c>
      <c r="B33" s="230" t="s">
        <v>54</v>
      </c>
      <c r="C33" s="268"/>
      <c r="D33" s="171">
        <f aca="true" t="shared" si="13" ref="D33:AI33">D34+D37+D52+D60</f>
        <v>0</v>
      </c>
      <c r="E33" s="171">
        <f t="shared" si="13"/>
        <v>0</v>
      </c>
      <c r="F33" s="171">
        <f t="shared" si="13"/>
        <v>0</v>
      </c>
      <c r="G33" s="171">
        <f t="shared" si="13"/>
        <v>0</v>
      </c>
      <c r="H33" s="171">
        <f t="shared" si="13"/>
        <v>0</v>
      </c>
      <c r="I33" s="171">
        <f t="shared" si="13"/>
        <v>0</v>
      </c>
      <c r="J33" s="171">
        <f t="shared" si="13"/>
        <v>0</v>
      </c>
      <c r="K33" s="171">
        <f t="shared" si="13"/>
        <v>0</v>
      </c>
      <c r="L33" s="171">
        <f t="shared" si="13"/>
        <v>0</v>
      </c>
      <c r="M33" s="171">
        <f t="shared" si="13"/>
        <v>0</v>
      </c>
      <c r="N33" s="171">
        <f t="shared" si="13"/>
        <v>0</v>
      </c>
      <c r="O33" s="171">
        <f t="shared" si="13"/>
        <v>0</v>
      </c>
      <c r="P33" s="171">
        <f t="shared" si="13"/>
        <v>0</v>
      </c>
      <c r="Q33" s="171">
        <f t="shared" si="13"/>
        <v>0</v>
      </c>
      <c r="R33" s="171">
        <f t="shared" si="13"/>
        <v>0</v>
      </c>
      <c r="S33" s="171">
        <f t="shared" si="13"/>
        <v>0</v>
      </c>
      <c r="T33" s="171">
        <f t="shared" si="13"/>
        <v>0</v>
      </c>
      <c r="U33" s="171">
        <f t="shared" si="13"/>
        <v>0</v>
      </c>
      <c r="V33" s="171">
        <f t="shared" si="13"/>
        <v>0</v>
      </c>
      <c r="W33" s="171">
        <f t="shared" si="13"/>
        <v>0</v>
      </c>
      <c r="X33" s="171">
        <f t="shared" si="13"/>
        <v>0</v>
      </c>
      <c r="Y33" s="171">
        <f t="shared" si="13"/>
        <v>0</v>
      </c>
      <c r="Z33" s="171">
        <f t="shared" si="13"/>
        <v>0</v>
      </c>
      <c r="AA33" s="171">
        <f t="shared" si="13"/>
        <v>0</v>
      </c>
      <c r="AB33" s="171">
        <f t="shared" si="13"/>
        <v>0</v>
      </c>
      <c r="AC33" s="171">
        <f t="shared" si="13"/>
        <v>1.03</v>
      </c>
      <c r="AD33" s="328">
        <f t="shared" si="13"/>
        <v>0</v>
      </c>
      <c r="AE33" s="328">
        <f t="shared" si="13"/>
        <v>2.584</v>
      </c>
      <c r="AF33" s="328">
        <f t="shared" si="13"/>
        <v>0</v>
      </c>
      <c r="AG33" s="328">
        <f t="shared" si="13"/>
        <v>0</v>
      </c>
      <c r="AH33" s="328">
        <f t="shared" si="13"/>
        <v>0</v>
      </c>
      <c r="AI33" s="328">
        <f t="shared" si="13"/>
        <v>0</v>
      </c>
      <c r="AJ33" s="328">
        <f aca="true" t="shared" si="14" ref="AJ33:BA33">AJ34+AJ37+AJ52+AJ60</f>
        <v>0.025</v>
      </c>
      <c r="AK33" s="328">
        <f t="shared" si="14"/>
        <v>0</v>
      </c>
      <c r="AL33" s="328">
        <f t="shared" si="14"/>
        <v>0</v>
      </c>
      <c r="AM33" s="328">
        <f t="shared" si="14"/>
        <v>0</v>
      </c>
      <c r="AN33" s="328">
        <f t="shared" si="14"/>
        <v>0</v>
      </c>
      <c r="AO33" s="328">
        <f t="shared" si="14"/>
        <v>0.83</v>
      </c>
      <c r="AP33" s="328">
        <f t="shared" si="14"/>
        <v>0</v>
      </c>
      <c r="AQ33" s="171">
        <f t="shared" si="14"/>
        <v>0</v>
      </c>
      <c r="AR33" s="328">
        <f t="shared" si="14"/>
        <v>1.03</v>
      </c>
      <c r="AS33" s="171">
        <f t="shared" si="14"/>
        <v>0</v>
      </c>
      <c r="AT33" s="328">
        <f t="shared" si="14"/>
        <v>0</v>
      </c>
      <c r="AU33" s="171">
        <f t="shared" si="14"/>
        <v>0</v>
      </c>
      <c r="AV33" s="171">
        <f t="shared" si="14"/>
        <v>0</v>
      </c>
      <c r="AW33" s="328">
        <f t="shared" si="14"/>
        <v>0</v>
      </c>
      <c r="AX33" s="171">
        <f t="shared" si="14"/>
        <v>0</v>
      </c>
      <c r="AY33" s="328">
        <f t="shared" si="14"/>
        <v>1.729</v>
      </c>
      <c r="AZ33" s="171">
        <f t="shared" si="14"/>
        <v>0</v>
      </c>
      <c r="BA33" s="171">
        <f t="shared" si="14"/>
        <v>0.29012914</v>
      </c>
      <c r="BB33" s="231"/>
    </row>
    <row r="34" spans="1:54" ht="31.5">
      <c r="A34" s="137" t="s">
        <v>164</v>
      </c>
      <c r="B34" s="230" t="s">
        <v>56</v>
      </c>
      <c r="C34" s="268"/>
      <c r="D34" s="171">
        <f aca="true" t="shared" si="15" ref="D34:AI34">D36+D35</f>
        <v>0</v>
      </c>
      <c r="E34" s="171">
        <f t="shared" si="15"/>
        <v>0</v>
      </c>
      <c r="F34" s="171">
        <f t="shared" si="15"/>
        <v>0</v>
      </c>
      <c r="G34" s="171">
        <f t="shared" si="15"/>
        <v>0</v>
      </c>
      <c r="H34" s="171">
        <f t="shared" si="15"/>
        <v>0</v>
      </c>
      <c r="I34" s="171">
        <f t="shared" si="15"/>
        <v>0</v>
      </c>
      <c r="J34" s="171">
        <f t="shared" si="15"/>
        <v>0</v>
      </c>
      <c r="K34" s="171">
        <f t="shared" si="15"/>
        <v>0</v>
      </c>
      <c r="L34" s="171">
        <f t="shared" si="15"/>
        <v>0</v>
      </c>
      <c r="M34" s="171">
        <f t="shared" si="15"/>
        <v>0</v>
      </c>
      <c r="N34" s="171">
        <f t="shared" si="15"/>
        <v>0</v>
      </c>
      <c r="O34" s="171">
        <f t="shared" si="15"/>
        <v>0</v>
      </c>
      <c r="P34" s="171">
        <f t="shared" si="15"/>
        <v>0</v>
      </c>
      <c r="Q34" s="171">
        <f t="shared" si="15"/>
        <v>0</v>
      </c>
      <c r="R34" s="171">
        <f t="shared" si="15"/>
        <v>0</v>
      </c>
      <c r="S34" s="171">
        <f t="shared" si="15"/>
        <v>0</v>
      </c>
      <c r="T34" s="171">
        <f t="shared" si="15"/>
        <v>0</v>
      </c>
      <c r="U34" s="171">
        <f t="shared" si="15"/>
        <v>0</v>
      </c>
      <c r="V34" s="171">
        <f t="shared" si="15"/>
        <v>0</v>
      </c>
      <c r="W34" s="171">
        <f t="shared" si="15"/>
        <v>0</v>
      </c>
      <c r="X34" s="171">
        <f t="shared" si="15"/>
        <v>0</v>
      </c>
      <c r="Y34" s="171">
        <f t="shared" si="15"/>
        <v>0</v>
      </c>
      <c r="Z34" s="171">
        <f t="shared" si="15"/>
        <v>0</v>
      </c>
      <c r="AA34" s="171">
        <f t="shared" si="15"/>
        <v>0</v>
      </c>
      <c r="AB34" s="171">
        <f t="shared" si="15"/>
        <v>0</v>
      </c>
      <c r="AC34" s="171">
        <f t="shared" si="15"/>
        <v>0</v>
      </c>
      <c r="AD34" s="328">
        <f t="shared" si="15"/>
        <v>0</v>
      </c>
      <c r="AE34" s="328">
        <f t="shared" si="15"/>
        <v>0</v>
      </c>
      <c r="AF34" s="328">
        <f t="shared" si="15"/>
        <v>0</v>
      </c>
      <c r="AG34" s="328">
        <f t="shared" si="15"/>
        <v>0</v>
      </c>
      <c r="AH34" s="328">
        <f t="shared" si="15"/>
        <v>0</v>
      </c>
      <c r="AI34" s="328">
        <f t="shared" si="15"/>
        <v>0</v>
      </c>
      <c r="AJ34" s="328">
        <f aca="true" t="shared" si="16" ref="AJ34:BA34">AJ36+AJ35</f>
        <v>0</v>
      </c>
      <c r="AK34" s="328">
        <f t="shared" si="16"/>
        <v>0</v>
      </c>
      <c r="AL34" s="328">
        <f t="shared" si="16"/>
        <v>0</v>
      </c>
      <c r="AM34" s="328">
        <f t="shared" si="16"/>
        <v>0</v>
      </c>
      <c r="AN34" s="328">
        <f t="shared" si="16"/>
        <v>0</v>
      </c>
      <c r="AO34" s="328">
        <f t="shared" si="16"/>
        <v>0</v>
      </c>
      <c r="AP34" s="328">
        <f t="shared" si="16"/>
        <v>0</v>
      </c>
      <c r="AQ34" s="171">
        <f t="shared" si="16"/>
        <v>0</v>
      </c>
      <c r="AR34" s="328">
        <f t="shared" si="16"/>
        <v>0</v>
      </c>
      <c r="AS34" s="171">
        <f t="shared" si="16"/>
        <v>0</v>
      </c>
      <c r="AT34" s="328">
        <f t="shared" si="16"/>
        <v>0</v>
      </c>
      <c r="AU34" s="171">
        <f t="shared" si="16"/>
        <v>0</v>
      </c>
      <c r="AV34" s="171">
        <f t="shared" si="16"/>
        <v>0</v>
      </c>
      <c r="AW34" s="328">
        <f t="shared" si="16"/>
        <v>0</v>
      </c>
      <c r="AX34" s="171">
        <f t="shared" si="16"/>
        <v>0</v>
      </c>
      <c r="AY34" s="328">
        <f t="shared" si="16"/>
        <v>0</v>
      </c>
      <c r="AZ34" s="171">
        <f t="shared" si="16"/>
        <v>0</v>
      </c>
      <c r="BA34" s="171">
        <f t="shared" si="16"/>
        <v>0</v>
      </c>
      <c r="BB34" s="231"/>
    </row>
    <row r="35" spans="1:54" s="232" customFormat="1" ht="39.75" customHeight="1">
      <c r="A35" s="45" t="s">
        <v>57</v>
      </c>
      <c r="B35" s="228" t="s">
        <v>61</v>
      </c>
      <c r="C35" s="268"/>
      <c r="D35" s="171">
        <f aca="true" t="shared" si="17" ref="D35:H36">I35+N35+S35+X35</f>
        <v>0</v>
      </c>
      <c r="E35" s="171">
        <f t="shared" si="17"/>
        <v>0</v>
      </c>
      <c r="F35" s="171">
        <f t="shared" si="17"/>
        <v>0</v>
      </c>
      <c r="G35" s="171">
        <f t="shared" si="17"/>
        <v>0</v>
      </c>
      <c r="H35" s="171">
        <f t="shared" si="17"/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f>AH35+AM35+AR35+AW35</f>
        <v>0</v>
      </c>
      <c r="AD35" s="328">
        <f>AI35+AN35+AS35+AX35</f>
        <v>0</v>
      </c>
      <c r="AE35" s="328">
        <f aca="true" t="shared" si="18" ref="AE35:AE46">AJ35+AO35+AT35+AY35</f>
        <v>0</v>
      </c>
      <c r="AF35" s="328">
        <f>AK35+AP35+AU35+AZ35</f>
        <v>0</v>
      </c>
      <c r="AG35" s="328">
        <f>AL35+AQ35+AV35+BA35</f>
        <v>0</v>
      </c>
      <c r="AH35" s="328">
        <v>0</v>
      </c>
      <c r="AI35" s="328">
        <v>0</v>
      </c>
      <c r="AJ35" s="328">
        <v>0</v>
      </c>
      <c r="AK35" s="328">
        <v>0</v>
      </c>
      <c r="AL35" s="328">
        <v>0</v>
      </c>
      <c r="AM35" s="328">
        <v>0</v>
      </c>
      <c r="AN35" s="328">
        <v>0</v>
      </c>
      <c r="AO35" s="328">
        <v>0</v>
      </c>
      <c r="AP35" s="328">
        <v>0</v>
      </c>
      <c r="AQ35" s="171">
        <v>0</v>
      </c>
      <c r="AR35" s="328">
        <v>0</v>
      </c>
      <c r="AS35" s="171">
        <v>0</v>
      </c>
      <c r="AT35" s="328">
        <v>0</v>
      </c>
      <c r="AU35" s="171">
        <v>0</v>
      </c>
      <c r="AV35" s="171">
        <v>0</v>
      </c>
      <c r="AW35" s="328">
        <v>0</v>
      </c>
      <c r="AX35" s="171">
        <v>0</v>
      </c>
      <c r="AY35" s="328">
        <v>0</v>
      </c>
      <c r="AZ35" s="171">
        <v>0</v>
      </c>
      <c r="BA35" s="171">
        <v>0</v>
      </c>
      <c r="BB35" s="231"/>
    </row>
    <row r="36" spans="1:54" s="232" customFormat="1" ht="18.75">
      <c r="A36" s="137" t="s">
        <v>60</v>
      </c>
      <c r="B36" s="233" t="s">
        <v>58</v>
      </c>
      <c r="C36" s="268"/>
      <c r="D36" s="171">
        <f t="shared" si="17"/>
        <v>0</v>
      </c>
      <c r="E36" s="171">
        <f t="shared" si="17"/>
        <v>0</v>
      </c>
      <c r="F36" s="171">
        <f t="shared" si="17"/>
        <v>0</v>
      </c>
      <c r="G36" s="171">
        <f t="shared" si="17"/>
        <v>0</v>
      </c>
      <c r="H36" s="171">
        <f t="shared" si="17"/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71">
        <v>0</v>
      </c>
      <c r="AB36" s="171">
        <v>0</v>
      </c>
      <c r="AC36" s="171">
        <f>AH36+AM36+AR36+AW36</f>
        <v>0</v>
      </c>
      <c r="AD36" s="328">
        <f>AI36+AN36+AS36+AX36</f>
        <v>0</v>
      </c>
      <c r="AE36" s="328">
        <f t="shared" si="18"/>
        <v>0</v>
      </c>
      <c r="AF36" s="328">
        <f>AK36+AP36+AU36+AZ36</f>
        <v>0</v>
      </c>
      <c r="AG36" s="328">
        <f>AL36+AQ36+AV36+BA36</f>
        <v>0</v>
      </c>
      <c r="AH36" s="328">
        <v>0</v>
      </c>
      <c r="AI36" s="328">
        <v>0</v>
      </c>
      <c r="AJ36" s="328">
        <v>0</v>
      </c>
      <c r="AK36" s="328">
        <v>0</v>
      </c>
      <c r="AL36" s="328">
        <v>0</v>
      </c>
      <c r="AM36" s="328">
        <v>0</v>
      </c>
      <c r="AN36" s="328">
        <v>0</v>
      </c>
      <c r="AO36" s="328">
        <v>0</v>
      </c>
      <c r="AP36" s="328">
        <v>0</v>
      </c>
      <c r="AQ36" s="171">
        <v>0</v>
      </c>
      <c r="AR36" s="328">
        <v>0</v>
      </c>
      <c r="AS36" s="171">
        <v>0</v>
      </c>
      <c r="AT36" s="328">
        <v>0</v>
      </c>
      <c r="AU36" s="171">
        <v>0</v>
      </c>
      <c r="AV36" s="171">
        <v>0</v>
      </c>
      <c r="AW36" s="328">
        <v>0</v>
      </c>
      <c r="AX36" s="171">
        <v>0</v>
      </c>
      <c r="AY36" s="328">
        <v>0</v>
      </c>
      <c r="AZ36" s="171">
        <v>0</v>
      </c>
      <c r="BA36" s="171">
        <v>0</v>
      </c>
      <c r="BB36" s="231"/>
    </row>
    <row r="37" spans="1:54" ht="18.75">
      <c r="A37" s="49" t="s">
        <v>62</v>
      </c>
      <c r="B37" s="234" t="s">
        <v>223</v>
      </c>
      <c r="C37" s="268"/>
      <c r="D37" s="171">
        <f aca="true" t="shared" si="19" ref="D37:AD37">SUM(D38:D51)</f>
        <v>0</v>
      </c>
      <c r="E37" s="171">
        <f t="shared" si="19"/>
        <v>0</v>
      </c>
      <c r="F37" s="171">
        <f t="shared" si="19"/>
        <v>0</v>
      </c>
      <c r="G37" s="171">
        <f t="shared" si="19"/>
        <v>0</v>
      </c>
      <c r="H37" s="171">
        <f t="shared" si="19"/>
        <v>0</v>
      </c>
      <c r="I37" s="171">
        <f t="shared" si="19"/>
        <v>0</v>
      </c>
      <c r="J37" s="171">
        <f t="shared" si="19"/>
        <v>0</v>
      </c>
      <c r="K37" s="171">
        <f t="shared" si="19"/>
        <v>0</v>
      </c>
      <c r="L37" s="171">
        <f t="shared" si="19"/>
        <v>0</v>
      </c>
      <c r="M37" s="171">
        <f t="shared" si="19"/>
        <v>0</v>
      </c>
      <c r="N37" s="171">
        <f t="shared" si="19"/>
        <v>0</v>
      </c>
      <c r="O37" s="171">
        <f t="shared" si="19"/>
        <v>0</v>
      </c>
      <c r="P37" s="171">
        <f t="shared" si="19"/>
        <v>0</v>
      </c>
      <c r="Q37" s="171">
        <f t="shared" si="19"/>
        <v>0</v>
      </c>
      <c r="R37" s="171">
        <f t="shared" si="19"/>
        <v>0</v>
      </c>
      <c r="S37" s="171">
        <f t="shared" si="19"/>
        <v>0</v>
      </c>
      <c r="T37" s="171">
        <f t="shared" si="19"/>
        <v>0</v>
      </c>
      <c r="U37" s="171">
        <f t="shared" si="19"/>
        <v>0</v>
      </c>
      <c r="V37" s="171">
        <f t="shared" si="19"/>
        <v>0</v>
      </c>
      <c r="W37" s="171">
        <f t="shared" si="19"/>
        <v>0</v>
      </c>
      <c r="X37" s="171">
        <f t="shared" si="19"/>
        <v>0</v>
      </c>
      <c r="Y37" s="171">
        <f t="shared" si="19"/>
        <v>0</v>
      </c>
      <c r="Z37" s="171">
        <f t="shared" si="19"/>
        <v>0</v>
      </c>
      <c r="AA37" s="171">
        <f t="shared" si="19"/>
        <v>0</v>
      </c>
      <c r="AB37" s="171">
        <f t="shared" si="19"/>
        <v>0</v>
      </c>
      <c r="AC37" s="171">
        <f t="shared" si="19"/>
        <v>0</v>
      </c>
      <c r="AD37" s="328">
        <f t="shared" si="19"/>
        <v>0</v>
      </c>
      <c r="AE37" s="328">
        <f t="shared" si="18"/>
        <v>1.729</v>
      </c>
      <c r="AF37" s="328">
        <f aca="true" t="shared" si="20" ref="AF37:BA37">SUM(AF38:AF51)</f>
        <v>0</v>
      </c>
      <c r="AG37" s="328">
        <f t="shared" si="20"/>
        <v>0</v>
      </c>
      <c r="AH37" s="328">
        <f t="shared" si="20"/>
        <v>0</v>
      </c>
      <c r="AI37" s="328">
        <f t="shared" si="20"/>
        <v>0</v>
      </c>
      <c r="AJ37" s="328">
        <f t="shared" si="20"/>
        <v>0</v>
      </c>
      <c r="AK37" s="328">
        <f t="shared" si="20"/>
        <v>0</v>
      </c>
      <c r="AL37" s="328">
        <f t="shared" si="20"/>
        <v>0</v>
      </c>
      <c r="AM37" s="328">
        <f t="shared" si="20"/>
        <v>0</v>
      </c>
      <c r="AN37" s="328">
        <f t="shared" si="20"/>
        <v>0</v>
      </c>
      <c r="AO37" s="328">
        <f t="shared" si="20"/>
        <v>0</v>
      </c>
      <c r="AP37" s="328">
        <f t="shared" si="20"/>
        <v>0</v>
      </c>
      <c r="AQ37" s="171">
        <f t="shared" si="20"/>
        <v>0</v>
      </c>
      <c r="AR37" s="328">
        <f t="shared" si="20"/>
        <v>0</v>
      </c>
      <c r="AS37" s="171">
        <f t="shared" si="20"/>
        <v>0</v>
      </c>
      <c r="AT37" s="328">
        <f t="shared" si="20"/>
        <v>0</v>
      </c>
      <c r="AU37" s="171">
        <f t="shared" si="20"/>
        <v>0</v>
      </c>
      <c r="AV37" s="171">
        <f t="shared" si="20"/>
        <v>0</v>
      </c>
      <c r="AW37" s="328">
        <f t="shared" si="20"/>
        <v>0</v>
      </c>
      <c r="AX37" s="171">
        <f t="shared" si="20"/>
        <v>0</v>
      </c>
      <c r="AY37" s="328">
        <f t="shared" si="20"/>
        <v>1.729</v>
      </c>
      <c r="AZ37" s="171">
        <f t="shared" si="20"/>
        <v>0</v>
      </c>
      <c r="BA37" s="171">
        <f t="shared" si="20"/>
        <v>0</v>
      </c>
      <c r="BB37" s="231"/>
    </row>
    <row r="38" spans="1:54" ht="18.75">
      <c r="A38" s="45" t="s">
        <v>197</v>
      </c>
      <c r="B38" s="233" t="s">
        <v>65</v>
      </c>
      <c r="C38" s="268"/>
      <c r="D38" s="171">
        <f aca="true" t="shared" si="21" ref="D38:D46">I38+N38+S38+X38</f>
        <v>0</v>
      </c>
      <c r="E38" s="171">
        <f aca="true" t="shared" si="22" ref="E38:E46">J38+O38+T38+Y38</f>
        <v>0</v>
      </c>
      <c r="F38" s="171">
        <f aca="true" t="shared" si="23" ref="F38:F46">K38+P38+U38+Z38</f>
        <v>0</v>
      </c>
      <c r="G38" s="171">
        <f aca="true" t="shared" si="24" ref="G38:G46">L38+Q38+V38+AA38</f>
        <v>0</v>
      </c>
      <c r="H38" s="171">
        <f aca="true" t="shared" si="25" ref="H38:H46">M38+R38+W38+AB38</f>
        <v>0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0</v>
      </c>
      <c r="T38" s="171">
        <v>0</v>
      </c>
      <c r="U38" s="171">
        <v>0</v>
      </c>
      <c r="V38" s="171">
        <v>0</v>
      </c>
      <c r="W38" s="171">
        <v>0</v>
      </c>
      <c r="X38" s="171">
        <v>0</v>
      </c>
      <c r="Y38" s="171">
        <v>0</v>
      </c>
      <c r="Z38" s="171">
        <v>0</v>
      </c>
      <c r="AA38" s="171">
        <v>0</v>
      </c>
      <c r="AB38" s="171">
        <v>0</v>
      </c>
      <c r="AC38" s="171">
        <f aca="true" t="shared" si="26" ref="AC38:AC46">AH38+AM38+AR38+AW38</f>
        <v>0</v>
      </c>
      <c r="AD38" s="328">
        <f aca="true" t="shared" si="27" ref="AD38:AD46">AI38+AN38+AS38+AX38</f>
        <v>0</v>
      </c>
      <c r="AE38" s="328">
        <f t="shared" si="18"/>
        <v>0</v>
      </c>
      <c r="AF38" s="328">
        <f aca="true" t="shared" si="28" ref="AF38:AF46">AK38+AP38+AU38+AZ38</f>
        <v>0</v>
      </c>
      <c r="AG38" s="328">
        <f aca="true" t="shared" si="29" ref="AG38:AG46">AL38+AQ38+AV38+BA38</f>
        <v>0</v>
      </c>
      <c r="AH38" s="328">
        <v>0</v>
      </c>
      <c r="AI38" s="328">
        <v>0</v>
      </c>
      <c r="AJ38" s="328">
        <v>0</v>
      </c>
      <c r="AK38" s="328">
        <v>0</v>
      </c>
      <c r="AL38" s="328">
        <v>0</v>
      </c>
      <c r="AM38" s="328">
        <v>0</v>
      </c>
      <c r="AN38" s="328">
        <v>0</v>
      </c>
      <c r="AO38" s="328">
        <v>0</v>
      </c>
      <c r="AP38" s="328">
        <v>0</v>
      </c>
      <c r="AQ38" s="171">
        <v>0</v>
      </c>
      <c r="AR38" s="328">
        <v>0</v>
      </c>
      <c r="AS38" s="171">
        <v>0</v>
      </c>
      <c r="AT38" s="328">
        <v>0</v>
      </c>
      <c r="AU38" s="171">
        <v>0</v>
      </c>
      <c r="AV38" s="171">
        <v>0</v>
      </c>
      <c r="AW38" s="328">
        <v>0</v>
      </c>
      <c r="AX38" s="171">
        <v>0</v>
      </c>
      <c r="AY38" s="328">
        <v>0</v>
      </c>
      <c r="AZ38" s="171">
        <v>0</v>
      </c>
      <c r="BA38" s="171">
        <v>0</v>
      </c>
      <c r="BB38" s="231"/>
    </row>
    <row r="39" spans="1:54" ht="18.75">
      <c r="A39" s="45" t="s">
        <v>198</v>
      </c>
      <c r="B39" s="233" t="s">
        <v>68</v>
      </c>
      <c r="C39" s="268"/>
      <c r="D39" s="171">
        <f t="shared" si="21"/>
        <v>0</v>
      </c>
      <c r="E39" s="171">
        <f t="shared" si="22"/>
        <v>0</v>
      </c>
      <c r="F39" s="171">
        <f t="shared" si="23"/>
        <v>0</v>
      </c>
      <c r="G39" s="171">
        <f t="shared" si="24"/>
        <v>0</v>
      </c>
      <c r="H39" s="171">
        <f t="shared" si="25"/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  <c r="T39" s="171">
        <v>0</v>
      </c>
      <c r="U39" s="171">
        <v>0</v>
      </c>
      <c r="V39" s="171">
        <v>0</v>
      </c>
      <c r="W39" s="171">
        <v>0</v>
      </c>
      <c r="X39" s="171">
        <v>0</v>
      </c>
      <c r="Y39" s="171">
        <v>0</v>
      </c>
      <c r="Z39" s="171">
        <v>0</v>
      </c>
      <c r="AA39" s="171">
        <v>0</v>
      </c>
      <c r="AB39" s="171">
        <v>0</v>
      </c>
      <c r="AC39" s="171">
        <f t="shared" si="26"/>
        <v>0</v>
      </c>
      <c r="AD39" s="328">
        <f t="shared" si="27"/>
        <v>0</v>
      </c>
      <c r="AE39" s="328">
        <f t="shared" si="18"/>
        <v>0</v>
      </c>
      <c r="AF39" s="328">
        <f t="shared" si="28"/>
        <v>0</v>
      </c>
      <c r="AG39" s="328">
        <f t="shared" si="29"/>
        <v>0</v>
      </c>
      <c r="AH39" s="328">
        <v>0</v>
      </c>
      <c r="AI39" s="328">
        <v>0</v>
      </c>
      <c r="AJ39" s="328">
        <v>0</v>
      </c>
      <c r="AK39" s="328">
        <v>0</v>
      </c>
      <c r="AL39" s="328">
        <v>0</v>
      </c>
      <c r="AM39" s="328">
        <v>0</v>
      </c>
      <c r="AN39" s="328">
        <v>0</v>
      </c>
      <c r="AO39" s="328">
        <v>0</v>
      </c>
      <c r="AP39" s="328">
        <v>0</v>
      </c>
      <c r="AQ39" s="171">
        <v>0</v>
      </c>
      <c r="AR39" s="328">
        <v>0</v>
      </c>
      <c r="AS39" s="171">
        <v>0</v>
      </c>
      <c r="AT39" s="328">
        <v>0</v>
      </c>
      <c r="AU39" s="171">
        <v>0</v>
      </c>
      <c r="AV39" s="171">
        <v>0</v>
      </c>
      <c r="AW39" s="328">
        <v>0</v>
      </c>
      <c r="AX39" s="171">
        <v>0</v>
      </c>
      <c r="AY39" s="328">
        <v>0</v>
      </c>
      <c r="AZ39" s="171">
        <v>0</v>
      </c>
      <c r="BA39" s="171">
        <v>0</v>
      </c>
      <c r="BB39" s="231"/>
    </row>
    <row r="40" spans="1:54" ht="18.75">
      <c r="A40" s="45" t="s">
        <v>199</v>
      </c>
      <c r="B40" s="233" t="s">
        <v>70</v>
      </c>
      <c r="C40" s="268"/>
      <c r="D40" s="171">
        <f t="shared" si="21"/>
        <v>0</v>
      </c>
      <c r="E40" s="171">
        <f t="shared" si="22"/>
        <v>0</v>
      </c>
      <c r="F40" s="171">
        <f t="shared" si="23"/>
        <v>0</v>
      </c>
      <c r="G40" s="171">
        <f t="shared" si="24"/>
        <v>0</v>
      </c>
      <c r="H40" s="171">
        <f t="shared" si="25"/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71">
        <v>0</v>
      </c>
      <c r="AB40" s="171">
        <v>0</v>
      </c>
      <c r="AC40" s="171">
        <f t="shared" si="26"/>
        <v>0</v>
      </c>
      <c r="AD40" s="328">
        <f t="shared" si="27"/>
        <v>0</v>
      </c>
      <c r="AE40" s="328">
        <f t="shared" si="18"/>
        <v>0</v>
      </c>
      <c r="AF40" s="328">
        <f t="shared" si="28"/>
        <v>0</v>
      </c>
      <c r="AG40" s="328">
        <f t="shared" si="29"/>
        <v>0</v>
      </c>
      <c r="AH40" s="328">
        <v>0</v>
      </c>
      <c r="AI40" s="328">
        <v>0</v>
      </c>
      <c r="AJ40" s="328">
        <v>0</v>
      </c>
      <c r="AK40" s="328">
        <v>0</v>
      </c>
      <c r="AL40" s="328">
        <v>0</v>
      </c>
      <c r="AM40" s="328">
        <v>0</v>
      </c>
      <c r="AN40" s="328">
        <v>0</v>
      </c>
      <c r="AO40" s="328">
        <v>0</v>
      </c>
      <c r="AP40" s="328">
        <v>0</v>
      </c>
      <c r="AQ40" s="171">
        <v>0</v>
      </c>
      <c r="AR40" s="328">
        <v>0</v>
      </c>
      <c r="AS40" s="171">
        <v>0</v>
      </c>
      <c r="AT40" s="328">
        <v>0</v>
      </c>
      <c r="AU40" s="171">
        <v>0</v>
      </c>
      <c r="AV40" s="171">
        <v>0</v>
      </c>
      <c r="AW40" s="328">
        <v>0</v>
      </c>
      <c r="AX40" s="171">
        <v>0</v>
      </c>
      <c r="AY40" s="328">
        <v>0</v>
      </c>
      <c r="AZ40" s="171">
        <v>0</v>
      </c>
      <c r="BA40" s="171">
        <v>0</v>
      </c>
      <c r="BB40" s="231"/>
    </row>
    <row r="41" spans="1:54" ht="18.75">
      <c r="A41" s="45" t="s">
        <v>200</v>
      </c>
      <c r="B41" s="233" t="s">
        <v>72</v>
      </c>
      <c r="C41" s="268"/>
      <c r="D41" s="171">
        <f t="shared" si="21"/>
        <v>0</v>
      </c>
      <c r="E41" s="171">
        <f t="shared" si="22"/>
        <v>0</v>
      </c>
      <c r="F41" s="171">
        <f t="shared" si="23"/>
        <v>0</v>
      </c>
      <c r="G41" s="171">
        <f t="shared" si="24"/>
        <v>0</v>
      </c>
      <c r="H41" s="171">
        <f t="shared" si="25"/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71">
        <v>0</v>
      </c>
      <c r="R41" s="171">
        <v>0</v>
      </c>
      <c r="S41" s="171">
        <v>0</v>
      </c>
      <c r="T41" s="171">
        <v>0</v>
      </c>
      <c r="U41" s="171">
        <v>0</v>
      </c>
      <c r="V41" s="171">
        <v>0</v>
      </c>
      <c r="W41" s="171">
        <v>0</v>
      </c>
      <c r="X41" s="171">
        <v>0</v>
      </c>
      <c r="Y41" s="171">
        <v>0</v>
      </c>
      <c r="Z41" s="171">
        <v>0</v>
      </c>
      <c r="AA41" s="171">
        <v>0</v>
      </c>
      <c r="AB41" s="171">
        <v>0</v>
      </c>
      <c r="AC41" s="171">
        <f t="shared" si="26"/>
        <v>0</v>
      </c>
      <c r="AD41" s="328">
        <f t="shared" si="27"/>
        <v>0</v>
      </c>
      <c r="AE41" s="328">
        <f t="shared" si="18"/>
        <v>0</v>
      </c>
      <c r="AF41" s="328">
        <f t="shared" si="28"/>
        <v>0</v>
      </c>
      <c r="AG41" s="328">
        <f t="shared" si="29"/>
        <v>0</v>
      </c>
      <c r="AH41" s="328">
        <v>0</v>
      </c>
      <c r="AI41" s="328">
        <v>0</v>
      </c>
      <c r="AJ41" s="328">
        <v>0</v>
      </c>
      <c r="AK41" s="328">
        <v>0</v>
      </c>
      <c r="AL41" s="328">
        <v>0</v>
      </c>
      <c r="AM41" s="328">
        <v>0</v>
      </c>
      <c r="AN41" s="328">
        <v>0</v>
      </c>
      <c r="AO41" s="328">
        <v>0</v>
      </c>
      <c r="AP41" s="328">
        <v>0</v>
      </c>
      <c r="AQ41" s="171">
        <v>0</v>
      </c>
      <c r="AR41" s="328">
        <v>0</v>
      </c>
      <c r="AS41" s="171">
        <v>0</v>
      </c>
      <c r="AT41" s="328">
        <v>0</v>
      </c>
      <c r="AU41" s="171">
        <v>0</v>
      </c>
      <c r="AV41" s="171">
        <v>0</v>
      </c>
      <c r="AW41" s="328">
        <v>0</v>
      </c>
      <c r="AX41" s="171">
        <v>0</v>
      </c>
      <c r="AY41" s="328">
        <v>0</v>
      </c>
      <c r="AZ41" s="171">
        <v>0</v>
      </c>
      <c r="BA41" s="171">
        <v>0</v>
      </c>
      <c r="BB41" s="231"/>
    </row>
    <row r="42" spans="1:54" ht="18.75">
      <c r="A42" s="45" t="s">
        <v>201</v>
      </c>
      <c r="B42" s="233" t="s">
        <v>74</v>
      </c>
      <c r="C42" s="268"/>
      <c r="D42" s="171">
        <f t="shared" si="21"/>
        <v>0</v>
      </c>
      <c r="E42" s="171">
        <f t="shared" si="22"/>
        <v>0</v>
      </c>
      <c r="F42" s="171">
        <f t="shared" si="23"/>
        <v>0</v>
      </c>
      <c r="G42" s="171">
        <f t="shared" si="24"/>
        <v>0</v>
      </c>
      <c r="H42" s="171">
        <f t="shared" si="25"/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171">
        <v>0</v>
      </c>
      <c r="U42" s="171">
        <v>0</v>
      </c>
      <c r="V42" s="171">
        <v>0</v>
      </c>
      <c r="W42" s="171">
        <v>0</v>
      </c>
      <c r="X42" s="171">
        <v>0</v>
      </c>
      <c r="Y42" s="171">
        <v>0</v>
      </c>
      <c r="Z42" s="171">
        <v>0</v>
      </c>
      <c r="AA42" s="171">
        <v>0</v>
      </c>
      <c r="AB42" s="171">
        <v>0</v>
      </c>
      <c r="AC42" s="171">
        <f t="shared" si="26"/>
        <v>0</v>
      </c>
      <c r="AD42" s="328">
        <f t="shared" si="27"/>
        <v>0</v>
      </c>
      <c r="AE42" s="328">
        <f t="shared" si="18"/>
        <v>0</v>
      </c>
      <c r="AF42" s="328">
        <f t="shared" si="28"/>
        <v>0</v>
      </c>
      <c r="AG42" s="328">
        <f t="shared" si="29"/>
        <v>0</v>
      </c>
      <c r="AH42" s="328">
        <v>0</v>
      </c>
      <c r="AI42" s="328">
        <v>0</v>
      </c>
      <c r="AJ42" s="328">
        <v>0</v>
      </c>
      <c r="AK42" s="328">
        <v>0</v>
      </c>
      <c r="AL42" s="328">
        <v>0</v>
      </c>
      <c r="AM42" s="328">
        <v>0</v>
      </c>
      <c r="AN42" s="328">
        <v>0</v>
      </c>
      <c r="AO42" s="328">
        <v>0</v>
      </c>
      <c r="AP42" s="328">
        <v>0</v>
      </c>
      <c r="AQ42" s="171">
        <v>0</v>
      </c>
      <c r="AR42" s="328">
        <v>0</v>
      </c>
      <c r="AS42" s="171">
        <v>0</v>
      </c>
      <c r="AT42" s="328">
        <v>0</v>
      </c>
      <c r="AU42" s="171">
        <v>0</v>
      </c>
      <c r="AV42" s="171">
        <v>0</v>
      </c>
      <c r="AW42" s="328">
        <v>0</v>
      </c>
      <c r="AX42" s="171">
        <v>0</v>
      </c>
      <c r="AY42" s="328">
        <v>0</v>
      </c>
      <c r="AZ42" s="171">
        <v>0</v>
      </c>
      <c r="BA42" s="171">
        <v>0</v>
      </c>
      <c r="BB42" s="231"/>
    </row>
    <row r="43" spans="1:54" ht="18.75">
      <c r="A43" s="45" t="s">
        <v>202</v>
      </c>
      <c r="B43" s="233" t="s">
        <v>76</v>
      </c>
      <c r="C43" s="268"/>
      <c r="D43" s="171">
        <f t="shared" si="21"/>
        <v>0</v>
      </c>
      <c r="E43" s="171">
        <f t="shared" si="22"/>
        <v>0</v>
      </c>
      <c r="F43" s="171">
        <f t="shared" si="23"/>
        <v>0</v>
      </c>
      <c r="G43" s="171">
        <f t="shared" si="24"/>
        <v>0</v>
      </c>
      <c r="H43" s="171">
        <f t="shared" si="25"/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71">
        <v>0</v>
      </c>
      <c r="V43" s="171">
        <v>0</v>
      </c>
      <c r="W43" s="171">
        <v>0</v>
      </c>
      <c r="X43" s="171">
        <v>0</v>
      </c>
      <c r="Y43" s="171">
        <v>0</v>
      </c>
      <c r="Z43" s="171">
        <v>0</v>
      </c>
      <c r="AA43" s="171">
        <v>0</v>
      </c>
      <c r="AB43" s="171">
        <v>0</v>
      </c>
      <c r="AC43" s="171">
        <f t="shared" si="26"/>
        <v>0</v>
      </c>
      <c r="AD43" s="328">
        <f t="shared" si="27"/>
        <v>0</v>
      </c>
      <c r="AE43" s="328">
        <f t="shared" si="18"/>
        <v>0</v>
      </c>
      <c r="AF43" s="328">
        <f t="shared" si="28"/>
        <v>0</v>
      </c>
      <c r="AG43" s="328">
        <f t="shared" si="29"/>
        <v>0</v>
      </c>
      <c r="AH43" s="328">
        <v>0</v>
      </c>
      <c r="AI43" s="328">
        <v>0</v>
      </c>
      <c r="AJ43" s="328">
        <v>0</v>
      </c>
      <c r="AK43" s="328">
        <v>0</v>
      </c>
      <c r="AL43" s="328">
        <v>0</v>
      </c>
      <c r="AM43" s="328">
        <v>0</v>
      </c>
      <c r="AN43" s="328">
        <v>0</v>
      </c>
      <c r="AO43" s="328">
        <v>0</v>
      </c>
      <c r="AP43" s="328">
        <v>0</v>
      </c>
      <c r="AQ43" s="171">
        <v>0</v>
      </c>
      <c r="AR43" s="328">
        <v>0</v>
      </c>
      <c r="AS43" s="171">
        <v>0</v>
      </c>
      <c r="AT43" s="328">
        <v>0</v>
      </c>
      <c r="AU43" s="171">
        <v>0</v>
      </c>
      <c r="AV43" s="171">
        <v>0</v>
      </c>
      <c r="AW43" s="328">
        <v>0</v>
      </c>
      <c r="AX43" s="171">
        <v>0</v>
      </c>
      <c r="AY43" s="328">
        <v>0</v>
      </c>
      <c r="AZ43" s="171">
        <v>0</v>
      </c>
      <c r="BA43" s="171">
        <v>0</v>
      </c>
      <c r="BB43" s="231"/>
    </row>
    <row r="44" spans="1:54" ht="18.75">
      <c r="A44" s="45" t="s">
        <v>203</v>
      </c>
      <c r="B44" s="233" t="s">
        <v>78</v>
      </c>
      <c r="C44" s="268"/>
      <c r="D44" s="171">
        <f t="shared" si="21"/>
        <v>0</v>
      </c>
      <c r="E44" s="171">
        <f t="shared" si="22"/>
        <v>0</v>
      </c>
      <c r="F44" s="171">
        <f t="shared" si="23"/>
        <v>0</v>
      </c>
      <c r="G44" s="171">
        <f t="shared" si="24"/>
        <v>0</v>
      </c>
      <c r="H44" s="171">
        <f t="shared" si="25"/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71">
        <v>0</v>
      </c>
      <c r="AB44" s="171">
        <v>0</v>
      </c>
      <c r="AC44" s="171">
        <f t="shared" si="26"/>
        <v>0</v>
      </c>
      <c r="AD44" s="328">
        <f t="shared" si="27"/>
        <v>0</v>
      </c>
      <c r="AE44" s="328">
        <f t="shared" si="18"/>
        <v>0</v>
      </c>
      <c r="AF44" s="328">
        <f t="shared" si="28"/>
        <v>0</v>
      </c>
      <c r="AG44" s="328">
        <f t="shared" si="29"/>
        <v>0</v>
      </c>
      <c r="AH44" s="328">
        <v>0</v>
      </c>
      <c r="AI44" s="328">
        <v>0</v>
      </c>
      <c r="AJ44" s="328">
        <v>0</v>
      </c>
      <c r="AK44" s="328">
        <v>0</v>
      </c>
      <c r="AL44" s="328">
        <v>0</v>
      </c>
      <c r="AM44" s="328">
        <v>0</v>
      </c>
      <c r="AN44" s="328">
        <v>0</v>
      </c>
      <c r="AO44" s="328">
        <v>0</v>
      </c>
      <c r="AP44" s="328">
        <v>0</v>
      </c>
      <c r="AQ44" s="171">
        <v>0</v>
      </c>
      <c r="AR44" s="328">
        <v>0</v>
      </c>
      <c r="AS44" s="171">
        <v>0</v>
      </c>
      <c r="AT44" s="328">
        <v>0</v>
      </c>
      <c r="AU44" s="171">
        <v>0</v>
      </c>
      <c r="AV44" s="171">
        <v>0</v>
      </c>
      <c r="AW44" s="328">
        <v>0</v>
      </c>
      <c r="AX44" s="171">
        <v>0</v>
      </c>
      <c r="AY44" s="328">
        <v>0</v>
      </c>
      <c r="AZ44" s="171">
        <v>0</v>
      </c>
      <c r="BA44" s="171">
        <v>0</v>
      </c>
      <c r="BB44" s="231"/>
    </row>
    <row r="45" spans="1:54" ht="18.75">
      <c r="A45" s="45" t="s">
        <v>204</v>
      </c>
      <c r="B45" s="233" t="s">
        <v>80</v>
      </c>
      <c r="C45" s="268"/>
      <c r="D45" s="171">
        <f t="shared" si="21"/>
        <v>0</v>
      </c>
      <c r="E45" s="171">
        <f t="shared" si="22"/>
        <v>0</v>
      </c>
      <c r="F45" s="171">
        <f t="shared" si="23"/>
        <v>0</v>
      </c>
      <c r="G45" s="171">
        <f t="shared" si="24"/>
        <v>0</v>
      </c>
      <c r="H45" s="171">
        <f t="shared" si="25"/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0</v>
      </c>
      <c r="AB45" s="171">
        <v>0</v>
      </c>
      <c r="AC45" s="171">
        <f t="shared" si="26"/>
        <v>0</v>
      </c>
      <c r="AD45" s="328">
        <f t="shared" si="27"/>
        <v>0</v>
      </c>
      <c r="AE45" s="328">
        <f t="shared" si="18"/>
        <v>0</v>
      </c>
      <c r="AF45" s="328">
        <f t="shared" si="28"/>
        <v>0</v>
      </c>
      <c r="AG45" s="328">
        <f t="shared" si="29"/>
        <v>0</v>
      </c>
      <c r="AH45" s="328">
        <v>0</v>
      </c>
      <c r="AI45" s="328">
        <v>0</v>
      </c>
      <c r="AJ45" s="328">
        <v>0</v>
      </c>
      <c r="AK45" s="328">
        <v>0</v>
      </c>
      <c r="AL45" s="328">
        <v>0</v>
      </c>
      <c r="AM45" s="328">
        <v>0</v>
      </c>
      <c r="AN45" s="328">
        <v>0</v>
      </c>
      <c r="AO45" s="328">
        <v>0</v>
      </c>
      <c r="AP45" s="328">
        <v>0</v>
      </c>
      <c r="AQ45" s="171">
        <v>0</v>
      </c>
      <c r="AR45" s="328">
        <v>0</v>
      </c>
      <c r="AS45" s="171">
        <v>0</v>
      </c>
      <c r="AT45" s="328">
        <v>0</v>
      </c>
      <c r="AU45" s="171">
        <v>0</v>
      </c>
      <c r="AV45" s="171">
        <v>0</v>
      </c>
      <c r="AW45" s="328">
        <v>0</v>
      </c>
      <c r="AX45" s="171">
        <v>0</v>
      </c>
      <c r="AY45" s="328">
        <v>0</v>
      </c>
      <c r="AZ45" s="171">
        <v>0</v>
      </c>
      <c r="BA45" s="171">
        <v>0</v>
      </c>
      <c r="BB45" s="231"/>
    </row>
    <row r="46" spans="1:54" ht="18.75">
      <c r="A46" s="45" t="s">
        <v>205</v>
      </c>
      <c r="B46" s="233" t="s">
        <v>82</v>
      </c>
      <c r="C46" s="268"/>
      <c r="D46" s="171">
        <f t="shared" si="21"/>
        <v>0</v>
      </c>
      <c r="E46" s="171">
        <f t="shared" si="22"/>
        <v>0</v>
      </c>
      <c r="F46" s="171">
        <f t="shared" si="23"/>
        <v>0</v>
      </c>
      <c r="G46" s="171">
        <f t="shared" si="24"/>
        <v>0</v>
      </c>
      <c r="H46" s="171">
        <f t="shared" si="25"/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71">
        <v>0</v>
      </c>
      <c r="AB46" s="171">
        <v>0</v>
      </c>
      <c r="AC46" s="171">
        <f t="shared" si="26"/>
        <v>0</v>
      </c>
      <c r="AD46" s="328">
        <f t="shared" si="27"/>
        <v>0</v>
      </c>
      <c r="AE46" s="328">
        <f t="shared" si="18"/>
        <v>0</v>
      </c>
      <c r="AF46" s="328">
        <f t="shared" si="28"/>
        <v>0</v>
      </c>
      <c r="AG46" s="328">
        <f t="shared" si="29"/>
        <v>0</v>
      </c>
      <c r="AH46" s="328">
        <v>0</v>
      </c>
      <c r="AI46" s="328">
        <v>0</v>
      </c>
      <c r="AJ46" s="328">
        <v>0</v>
      </c>
      <c r="AK46" s="328">
        <v>0</v>
      </c>
      <c r="AL46" s="328">
        <v>0</v>
      </c>
      <c r="AM46" s="328">
        <v>0</v>
      </c>
      <c r="AN46" s="328">
        <v>0</v>
      </c>
      <c r="AO46" s="328">
        <v>0</v>
      </c>
      <c r="AP46" s="328">
        <v>0</v>
      </c>
      <c r="AQ46" s="171">
        <v>0</v>
      </c>
      <c r="AR46" s="328">
        <v>0</v>
      </c>
      <c r="AS46" s="171">
        <v>0</v>
      </c>
      <c r="AT46" s="328">
        <v>0</v>
      </c>
      <c r="AU46" s="171">
        <v>0</v>
      </c>
      <c r="AV46" s="171">
        <v>0</v>
      </c>
      <c r="AW46" s="328">
        <v>0</v>
      </c>
      <c r="AX46" s="171">
        <v>0</v>
      </c>
      <c r="AY46" s="328">
        <v>0</v>
      </c>
      <c r="AZ46" s="171">
        <v>0</v>
      </c>
      <c r="BA46" s="171">
        <v>0</v>
      </c>
      <c r="BB46" s="231"/>
    </row>
    <row r="47" spans="1:54" ht="18.75" hidden="1">
      <c r="A47" s="45"/>
      <c r="B47" s="233"/>
      <c r="C47" s="268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171"/>
      <c r="AR47" s="328"/>
      <c r="AS47" s="171"/>
      <c r="AT47" s="328"/>
      <c r="AU47" s="171"/>
      <c r="AV47" s="171"/>
      <c r="AW47" s="328">
        <v>0</v>
      </c>
      <c r="AX47" s="171">
        <v>0</v>
      </c>
      <c r="AY47" s="328"/>
      <c r="AZ47" s="171">
        <v>0</v>
      </c>
      <c r="BA47" s="171">
        <v>0</v>
      </c>
      <c r="BB47" s="231"/>
    </row>
    <row r="48" spans="1:54" ht="18.75" hidden="1">
      <c r="A48" s="45"/>
      <c r="B48" s="233"/>
      <c r="C48" s="268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171"/>
      <c r="AR48" s="328"/>
      <c r="AS48" s="171"/>
      <c r="AT48" s="328"/>
      <c r="AU48" s="171"/>
      <c r="AV48" s="171"/>
      <c r="AW48" s="328">
        <v>0</v>
      </c>
      <c r="AX48" s="171">
        <v>0</v>
      </c>
      <c r="AY48" s="328"/>
      <c r="AZ48" s="171">
        <v>0</v>
      </c>
      <c r="BA48" s="171">
        <v>0</v>
      </c>
      <c r="BB48" s="231"/>
    </row>
    <row r="49" spans="1:54" ht="31.5">
      <c r="A49" s="45"/>
      <c r="B49" s="228" t="s">
        <v>84</v>
      </c>
      <c r="C49" s="268"/>
      <c r="D49" s="171">
        <f aca="true" t="shared" si="30" ref="D49:H51">I49+N49+S49+X49</f>
        <v>0</v>
      </c>
      <c r="E49" s="171">
        <f t="shared" si="30"/>
        <v>0</v>
      </c>
      <c r="F49" s="171">
        <f t="shared" si="30"/>
        <v>0</v>
      </c>
      <c r="G49" s="171">
        <f t="shared" si="30"/>
        <v>0</v>
      </c>
      <c r="H49" s="171">
        <f t="shared" si="30"/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  <c r="Q49" s="171">
        <v>0</v>
      </c>
      <c r="R49" s="171">
        <v>0</v>
      </c>
      <c r="S49" s="171">
        <v>0</v>
      </c>
      <c r="T49" s="171">
        <v>0</v>
      </c>
      <c r="U49" s="171">
        <v>0</v>
      </c>
      <c r="V49" s="171">
        <v>0</v>
      </c>
      <c r="W49" s="171">
        <v>0</v>
      </c>
      <c r="X49" s="171">
        <v>0</v>
      </c>
      <c r="Y49" s="171">
        <v>0</v>
      </c>
      <c r="Z49" s="171">
        <v>0</v>
      </c>
      <c r="AA49" s="171">
        <v>0</v>
      </c>
      <c r="AB49" s="171">
        <v>0</v>
      </c>
      <c r="AC49" s="171">
        <f aca="true" t="shared" si="31" ref="AC49:AG51">AH49+AM49+AR49+AW49</f>
        <v>0</v>
      </c>
      <c r="AD49" s="328">
        <f t="shared" si="31"/>
        <v>0</v>
      </c>
      <c r="AE49" s="328">
        <f t="shared" si="31"/>
        <v>1.729</v>
      </c>
      <c r="AF49" s="328">
        <f t="shared" si="31"/>
        <v>0</v>
      </c>
      <c r="AG49" s="328">
        <f t="shared" si="31"/>
        <v>0</v>
      </c>
      <c r="AH49" s="328">
        <v>0</v>
      </c>
      <c r="AI49" s="328">
        <v>0</v>
      </c>
      <c r="AJ49" s="328">
        <v>0</v>
      </c>
      <c r="AK49" s="328">
        <v>0</v>
      </c>
      <c r="AL49" s="328">
        <v>0</v>
      </c>
      <c r="AM49" s="328">
        <v>0</v>
      </c>
      <c r="AN49" s="328">
        <v>0</v>
      </c>
      <c r="AO49" s="328">
        <v>0</v>
      </c>
      <c r="AP49" s="328">
        <v>0</v>
      </c>
      <c r="AQ49" s="171">
        <v>0</v>
      </c>
      <c r="AR49" s="328">
        <v>0</v>
      </c>
      <c r="AS49" s="171">
        <v>0</v>
      </c>
      <c r="AT49" s="328">
        <v>0</v>
      </c>
      <c r="AU49" s="171">
        <v>0</v>
      </c>
      <c r="AV49" s="171">
        <v>0</v>
      </c>
      <c r="AW49" s="328">
        <v>0</v>
      </c>
      <c r="AX49" s="171">
        <v>0</v>
      </c>
      <c r="AY49" s="328">
        <v>1.729</v>
      </c>
      <c r="AZ49" s="171">
        <v>0</v>
      </c>
      <c r="BA49" s="171">
        <v>0</v>
      </c>
      <c r="BB49" s="231"/>
    </row>
    <row r="50" spans="1:54" ht="18.75">
      <c r="A50" s="45" t="s">
        <v>206</v>
      </c>
      <c r="B50" s="233" t="s">
        <v>86</v>
      </c>
      <c r="C50" s="268"/>
      <c r="D50" s="171">
        <f t="shared" si="30"/>
        <v>0</v>
      </c>
      <c r="E50" s="171">
        <f t="shared" si="30"/>
        <v>0</v>
      </c>
      <c r="F50" s="171">
        <f t="shared" si="30"/>
        <v>0</v>
      </c>
      <c r="G50" s="171">
        <f t="shared" si="30"/>
        <v>0</v>
      </c>
      <c r="H50" s="171">
        <f t="shared" si="30"/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1">
        <v>0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71">
        <v>0</v>
      </c>
      <c r="AB50" s="171">
        <v>0</v>
      </c>
      <c r="AC50" s="171">
        <f t="shared" si="31"/>
        <v>0</v>
      </c>
      <c r="AD50" s="328">
        <f t="shared" si="31"/>
        <v>0</v>
      </c>
      <c r="AE50" s="328">
        <f t="shared" si="31"/>
        <v>0</v>
      </c>
      <c r="AF50" s="328">
        <f t="shared" si="31"/>
        <v>0</v>
      </c>
      <c r="AG50" s="328">
        <f t="shared" si="31"/>
        <v>0</v>
      </c>
      <c r="AH50" s="328">
        <v>0</v>
      </c>
      <c r="AI50" s="328">
        <v>0</v>
      </c>
      <c r="AJ50" s="328">
        <v>0</v>
      </c>
      <c r="AK50" s="328">
        <v>0</v>
      </c>
      <c r="AL50" s="328">
        <v>0</v>
      </c>
      <c r="AM50" s="328">
        <v>0</v>
      </c>
      <c r="AN50" s="328">
        <v>0</v>
      </c>
      <c r="AO50" s="328">
        <v>0</v>
      </c>
      <c r="AP50" s="328">
        <v>0</v>
      </c>
      <c r="AQ50" s="171">
        <v>0</v>
      </c>
      <c r="AR50" s="328">
        <v>0</v>
      </c>
      <c r="AS50" s="171">
        <v>0</v>
      </c>
      <c r="AT50" s="328">
        <v>0</v>
      </c>
      <c r="AU50" s="171">
        <v>0</v>
      </c>
      <c r="AV50" s="171">
        <v>0</v>
      </c>
      <c r="AW50" s="328">
        <v>0</v>
      </c>
      <c r="AX50" s="171">
        <v>0</v>
      </c>
      <c r="AY50" s="328">
        <v>0</v>
      </c>
      <c r="AZ50" s="171">
        <v>0</v>
      </c>
      <c r="BA50" s="171">
        <v>0</v>
      </c>
      <c r="BB50" s="231"/>
    </row>
    <row r="51" spans="1:54" ht="18.75">
      <c r="A51" s="45" t="s">
        <v>207</v>
      </c>
      <c r="B51" s="233" t="s">
        <v>88</v>
      </c>
      <c r="C51" s="268"/>
      <c r="D51" s="171">
        <f t="shared" si="30"/>
        <v>0</v>
      </c>
      <c r="E51" s="171">
        <f t="shared" si="30"/>
        <v>0</v>
      </c>
      <c r="F51" s="171">
        <f t="shared" si="30"/>
        <v>0</v>
      </c>
      <c r="G51" s="171">
        <f t="shared" si="30"/>
        <v>0</v>
      </c>
      <c r="H51" s="171">
        <f t="shared" si="30"/>
        <v>0</v>
      </c>
      <c r="I51" s="171">
        <v>0</v>
      </c>
      <c r="J51" s="171">
        <v>0</v>
      </c>
      <c r="K51" s="171">
        <v>0</v>
      </c>
      <c r="L51" s="171">
        <v>0</v>
      </c>
      <c r="M51" s="171">
        <v>0</v>
      </c>
      <c r="N51" s="171">
        <v>0</v>
      </c>
      <c r="O51" s="171">
        <v>0</v>
      </c>
      <c r="P51" s="171">
        <v>0</v>
      </c>
      <c r="Q51" s="171">
        <v>0</v>
      </c>
      <c r="R51" s="171">
        <v>0</v>
      </c>
      <c r="S51" s="171">
        <v>0</v>
      </c>
      <c r="T51" s="171">
        <v>0</v>
      </c>
      <c r="U51" s="171">
        <v>0</v>
      </c>
      <c r="V51" s="171">
        <v>0</v>
      </c>
      <c r="W51" s="171">
        <v>0</v>
      </c>
      <c r="X51" s="171">
        <v>0</v>
      </c>
      <c r="Y51" s="171">
        <v>0</v>
      </c>
      <c r="Z51" s="171">
        <v>0</v>
      </c>
      <c r="AA51" s="171">
        <v>0</v>
      </c>
      <c r="AB51" s="171">
        <v>0</v>
      </c>
      <c r="AC51" s="171">
        <f t="shared" si="31"/>
        <v>0</v>
      </c>
      <c r="AD51" s="328">
        <f t="shared" si="31"/>
        <v>0</v>
      </c>
      <c r="AE51" s="328">
        <f t="shared" si="31"/>
        <v>0</v>
      </c>
      <c r="AF51" s="328">
        <f t="shared" si="31"/>
        <v>0</v>
      </c>
      <c r="AG51" s="328">
        <f t="shared" si="31"/>
        <v>0</v>
      </c>
      <c r="AH51" s="328">
        <v>0</v>
      </c>
      <c r="AI51" s="328">
        <v>0</v>
      </c>
      <c r="AJ51" s="328">
        <v>0</v>
      </c>
      <c r="AK51" s="328">
        <v>0</v>
      </c>
      <c r="AL51" s="328">
        <v>0</v>
      </c>
      <c r="AM51" s="328">
        <v>0</v>
      </c>
      <c r="AN51" s="328">
        <v>0</v>
      </c>
      <c r="AO51" s="328">
        <v>0</v>
      </c>
      <c r="AP51" s="328">
        <v>0</v>
      </c>
      <c r="AQ51" s="171">
        <v>0</v>
      </c>
      <c r="AR51" s="328">
        <v>0</v>
      </c>
      <c r="AS51" s="171">
        <v>0</v>
      </c>
      <c r="AT51" s="328">
        <v>0</v>
      </c>
      <c r="AU51" s="171">
        <v>0</v>
      </c>
      <c r="AV51" s="171">
        <v>0</v>
      </c>
      <c r="AW51" s="328">
        <v>0</v>
      </c>
      <c r="AX51" s="171">
        <v>0</v>
      </c>
      <c r="AY51" s="328">
        <v>0</v>
      </c>
      <c r="AZ51" s="171">
        <v>0</v>
      </c>
      <c r="BA51" s="171">
        <v>0</v>
      </c>
      <c r="BB51" s="231"/>
    </row>
    <row r="52" spans="1:54" ht="31.5">
      <c r="A52" s="49" t="s">
        <v>165</v>
      </c>
      <c r="B52" s="234" t="s">
        <v>90</v>
      </c>
      <c r="C52" s="268"/>
      <c r="D52" s="171">
        <f aca="true" t="shared" si="32" ref="D52:AB52">SUM(D53:D55)</f>
        <v>0</v>
      </c>
      <c r="E52" s="171">
        <f t="shared" si="32"/>
        <v>0</v>
      </c>
      <c r="F52" s="171">
        <f t="shared" si="32"/>
        <v>0</v>
      </c>
      <c r="G52" s="171">
        <f t="shared" si="32"/>
        <v>0</v>
      </c>
      <c r="H52" s="171">
        <f t="shared" si="32"/>
        <v>0</v>
      </c>
      <c r="I52" s="171">
        <f t="shared" si="32"/>
        <v>0</v>
      </c>
      <c r="J52" s="171">
        <f t="shared" si="32"/>
        <v>0</v>
      </c>
      <c r="K52" s="171">
        <f t="shared" si="32"/>
        <v>0</v>
      </c>
      <c r="L52" s="171">
        <f t="shared" si="32"/>
        <v>0</v>
      </c>
      <c r="M52" s="171">
        <f t="shared" si="32"/>
        <v>0</v>
      </c>
      <c r="N52" s="171">
        <f t="shared" si="32"/>
        <v>0</v>
      </c>
      <c r="O52" s="171">
        <f t="shared" si="32"/>
        <v>0</v>
      </c>
      <c r="P52" s="171">
        <f t="shared" si="32"/>
        <v>0</v>
      </c>
      <c r="Q52" s="171">
        <f t="shared" si="32"/>
        <v>0</v>
      </c>
      <c r="R52" s="171">
        <f t="shared" si="32"/>
        <v>0</v>
      </c>
      <c r="S52" s="171">
        <f t="shared" si="32"/>
        <v>0</v>
      </c>
      <c r="T52" s="171">
        <f t="shared" si="32"/>
        <v>0</v>
      </c>
      <c r="U52" s="171">
        <f t="shared" si="32"/>
        <v>0</v>
      </c>
      <c r="V52" s="171">
        <f t="shared" si="32"/>
        <v>0</v>
      </c>
      <c r="W52" s="171">
        <f t="shared" si="32"/>
        <v>0</v>
      </c>
      <c r="X52" s="171">
        <f t="shared" si="32"/>
        <v>0</v>
      </c>
      <c r="Y52" s="171">
        <f t="shared" si="32"/>
        <v>0</v>
      </c>
      <c r="Z52" s="171">
        <f t="shared" si="32"/>
        <v>0</v>
      </c>
      <c r="AA52" s="171">
        <f t="shared" si="32"/>
        <v>0</v>
      </c>
      <c r="AB52" s="171">
        <f t="shared" si="32"/>
        <v>0</v>
      </c>
      <c r="AC52" s="171">
        <f>SUM(AC53:AC59)</f>
        <v>1.03</v>
      </c>
      <c r="AD52" s="328">
        <f>SUM(AD53:AD55)</f>
        <v>0</v>
      </c>
      <c r="AE52" s="328">
        <f>SUM(AE53:AE59)</f>
        <v>0</v>
      </c>
      <c r="AF52" s="328">
        <f aca="true" t="shared" si="33" ref="AF52:AQ52">SUM(AF53:AF55)</f>
        <v>0</v>
      </c>
      <c r="AG52" s="328">
        <f t="shared" si="33"/>
        <v>0</v>
      </c>
      <c r="AH52" s="328">
        <f t="shared" si="33"/>
        <v>0</v>
      </c>
      <c r="AI52" s="328">
        <f t="shared" si="33"/>
        <v>0</v>
      </c>
      <c r="AJ52" s="328">
        <f t="shared" si="33"/>
        <v>0</v>
      </c>
      <c r="AK52" s="328">
        <f t="shared" si="33"/>
        <v>0</v>
      </c>
      <c r="AL52" s="328">
        <f t="shared" si="33"/>
        <v>0</v>
      </c>
      <c r="AM52" s="328">
        <f t="shared" si="33"/>
        <v>0</v>
      </c>
      <c r="AN52" s="328">
        <f t="shared" si="33"/>
        <v>0</v>
      </c>
      <c r="AO52" s="328">
        <f t="shared" si="33"/>
        <v>0</v>
      </c>
      <c r="AP52" s="328">
        <f t="shared" si="33"/>
        <v>0</v>
      </c>
      <c r="AQ52" s="171">
        <f t="shared" si="33"/>
        <v>0</v>
      </c>
      <c r="AR52" s="328">
        <f>SUM(AR53:AR59)</f>
        <v>1.03</v>
      </c>
      <c r="AS52" s="171">
        <f>SUM(AS53:AS55)</f>
        <v>0</v>
      </c>
      <c r="AT52" s="328">
        <f>SUM(AT53:AT55)</f>
        <v>0</v>
      </c>
      <c r="AU52" s="171">
        <f>SUM(AU53:AU55)</f>
        <v>0</v>
      </c>
      <c r="AV52" s="171">
        <f>SUM(AV53:AV55)</f>
        <v>0</v>
      </c>
      <c r="AW52" s="328">
        <f>SUM(AW53:AW57)</f>
        <v>0</v>
      </c>
      <c r="AX52" s="171">
        <f>SUM(AX53:AX55)</f>
        <v>0</v>
      </c>
      <c r="AY52" s="328">
        <f>SUM(AY53:AY55)</f>
        <v>0</v>
      </c>
      <c r="AZ52" s="171">
        <f>SUM(AZ53:AZ55)</f>
        <v>0</v>
      </c>
      <c r="BA52" s="171">
        <f>SUM(BA53:BA59)</f>
        <v>0.29012914</v>
      </c>
      <c r="BB52" s="231"/>
    </row>
    <row r="53" spans="1:54" ht="31.5">
      <c r="A53" s="45" t="s">
        <v>166</v>
      </c>
      <c r="B53" s="228" t="s">
        <v>91</v>
      </c>
      <c r="C53" s="268"/>
      <c r="D53" s="171">
        <f aca="true" t="shared" si="34" ref="D53:D59">I53+N53+S53+X53</f>
        <v>0</v>
      </c>
      <c r="E53" s="171">
        <f aca="true" t="shared" si="35" ref="E53:E59">J53+O53+T53+Y53</f>
        <v>0</v>
      </c>
      <c r="F53" s="171">
        <f aca="true" t="shared" si="36" ref="F53:F59">K53+P53+U53+Z53</f>
        <v>0</v>
      </c>
      <c r="G53" s="171">
        <f aca="true" t="shared" si="37" ref="G53:G59">L53+Q53+V53+AA53</f>
        <v>0</v>
      </c>
      <c r="H53" s="171">
        <f aca="true" t="shared" si="38" ref="H53:H59">M53+R53+W53+AB53</f>
        <v>0</v>
      </c>
      <c r="I53" s="171">
        <v>0</v>
      </c>
      <c r="J53" s="171">
        <v>0</v>
      </c>
      <c r="K53" s="171">
        <v>0</v>
      </c>
      <c r="L53" s="171">
        <v>0</v>
      </c>
      <c r="M53" s="171">
        <v>0</v>
      </c>
      <c r="N53" s="171">
        <v>0</v>
      </c>
      <c r="O53" s="171">
        <v>0</v>
      </c>
      <c r="P53" s="171">
        <v>0</v>
      </c>
      <c r="Q53" s="171">
        <v>0</v>
      </c>
      <c r="R53" s="171">
        <v>0</v>
      </c>
      <c r="S53" s="171">
        <v>0</v>
      </c>
      <c r="T53" s="171">
        <v>0</v>
      </c>
      <c r="U53" s="171">
        <v>0</v>
      </c>
      <c r="V53" s="171">
        <v>0</v>
      </c>
      <c r="W53" s="171">
        <v>0</v>
      </c>
      <c r="X53" s="171">
        <v>0</v>
      </c>
      <c r="Y53" s="171">
        <v>0</v>
      </c>
      <c r="Z53" s="171">
        <v>0</v>
      </c>
      <c r="AA53" s="171">
        <v>0</v>
      </c>
      <c r="AB53" s="171">
        <v>0</v>
      </c>
      <c r="AC53" s="171">
        <f aca="true" t="shared" si="39" ref="AC53:AC59">AH53+AM53+AR53+AW53</f>
        <v>0</v>
      </c>
      <c r="AD53" s="328">
        <f aca="true" t="shared" si="40" ref="AD53:AD59">AI53+AN53+AS53+AX53</f>
        <v>0</v>
      </c>
      <c r="AE53" s="328">
        <f aca="true" t="shared" si="41" ref="AE53:AE72">AJ53+AO53+AT53+AY53</f>
        <v>0</v>
      </c>
      <c r="AF53" s="328">
        <f aca="true" t="shared" si="42" ref="AF53:AF59">AK53+AP53+AU53+AZ53</f>
        <v>0</v>
      </c>
      <c r="AG53" s="328">
        <f aca="true" t="shared" si="43" ref="AG53:AG59">AL53+AQ53+AV53+BA53</f>
        <v>0</v>
      </c>
      <c r="AH53" s="328">
        <v>0</v>
      </c>
      <c r="AI53" s="328">
        <v>0</v>
      </c>
      <c r="AJ53" s="328">
        <v>0</v>
      </c>
      <c r="AK53" s="328">
        <v>0</v>
      </c>
      <c r="AL53" s="328">
        <v>0</v>
      </c>
      <c r="AM53" s="328">
        <v>0</v>
      </c>
      <c r="AN53" s="328">
        <v>0</v>
      </c>
      <c r="AO53" s="328">
        <v>0</v>
      </c>
      <c r="AP53" s="328">
        <v>0</v>
      </c>
      <c r="AQ53" s="171">
        <v>0</v>
      </c>
      <c r="AR53" s="328">
        <v>0</v>
      </c>
      <c r="AS53" s="171">
        <v>0</v>
      </c>
      <c r="AT53" s="328">
        <v>0</v>
      </c>
      <c r="AU53" s="171">
        <v>0</v>
      </c>
      <c r="AV53" s="171">
        <v>0</v>
      </c>
      <c r="AW53" s="328">
        <v>0</v>
      </c>
      <c r="AX53" s="171">
        <v>0</v>
      </c>
      <c r="AY53" s="328">
        <v>0</v>
      </c>
      <c r="AZ53" s="171">
        <v>0</v>
      </c>
      <c r="BA53" s="171">
        <v>0</v>
      </c>
      <c r="BB53" s="231"/>
    </row>
    <row r="54" spans="1:54" ht="18.75" hidden="1">
      <c r="A54" s="45" t="s">
        <v>167</v>
      </c>
      <c r="B54" s="233" t="s">
        <v>92</v>
      </c>
      <c r="C54" s="268"/>
      <c r="D54" s="171">
        <f t="shared" si="34"/>
        <v>0</v>
      </c>
      <c r="E54" s="171">
        <f t="shared" si="35"/>
        <v>0</v>
      </c>
      <c r="F54" s="171">
        <f t="shared" si="36"/>
        <v>0</v>
      </c>
      <c r="G54" s="171">
        <f t="shared" si="37"/>
        <v>0</v>
      </c>
      <c r="H54" s="171">
        <f t="shared" si="38"/>
        <v>0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0</v>
      </c>
      <c r="AA54" s="171">
        <v>0</v>
      </c>
      <c r="AB54" s="171">
        <v>0</v>
      </c>
      <c r="AC54" s="171">
        <f t="shared" si="39"/>
        <v>0</v>
      </c>
      <c r="AD54" s="328">
        <f t="shared" si="40"/>
        <v>0</v>
      </c>
      <c r="AE54" s="328">
        <f t="shared" si="41"/>
        <v>0</v>
      </c>
      <c r="AF54" s="328">
        <f t="shared" si="42"/>
        <v>0</v>
      </c>
      <c r="AG54" s="328">
        <f t="shared" si="43"/>
        <v>0</v>
      </c>
      <c r="AH54" s="328">
        <v>0</v>
      </c>
      <c r="AI54" s="328">
        <v>0</v>
      </c>
      <c r="AJ54" s="328">
        <v>0</v>
      </c>
      <c r="AK54" s="328">
        <v>0</v>
      </c>
      <c r="AL54" s="328">
        <v>0</v>
      </c>
      <c r="AM54" s="328">
        <v>0</v>
      </c>
      <c r="AN54" s="328">
        <v>0</v>
      </c>
      <c r="AO54" s="328">
        <v>0</v>
      </c>
      <c r="AP54" s="328">
        <v>0</v>
      </c>
      <c r="AQ54" s="171">
        <v>0</v>
      </c>
      <c r="AR54" s="328">
        <v>0</v>
      </c>
      <c r="AS54" s="171">
        <v>0</v>
      </c>
      <c r="AT54" s="328">
        <v>0</v>
      </c>
      <c r="AU54" s="171">
        <v>0</v>
      </c>
      <c r="AV54" s="171">
        <v>0</v>
      </c>
      <c r="AW54" s="328">
        <v>0</v>
      </c>
      <c r="AX54" s="171">
        <v>0</v>
      </c>
      <c r="AY54" s="328">
        <v>0</v>
      </c>
      <c r="AZ54" s="171">
        <v>0</v>
      </c>
      <c r="BA54" s="171">
        <v>0</v>
      </c>
      <c r="BB54" s="231"/>
    </row>
    <row r="55" spans="1:54" ht="18.75" hidden="1">
      <c r="A55" s="45" t="s">
        <v>168</v>
      </c>
      <c r="B55" s="233" t="s">
        <v>94</v>
      </c>
      <c r="C55" s="268"/>
      <c r="D55" s="171">
        <f t="shared" si="34"/>
        <v>0</v>
      </c>
      <c r="E55" s="171">
        <f t="shared" si="35"/>
        <v>0</v>
      </c>
      <c r="F55" s="171">
        <f t="shared" si="36"/>
        <v>0</v>
      </c>
      <c r="G55" s="171">
        <f t="shared" si="37"/>
        <v>0</v>
      </c>
      <c r="H55" s="171">
        <f t="shared" si="38"/>
        <v>0</v>
      </c>
      <c r="I55" s="171">
        <v>0</v>
      </c>
      <c r="J55" s="171">
        <v>0</v>
      </c>
      <c r="K55" s="171">
        <v>0</v>
      </c>
      <c r="L55" s="171">
        <v>0</v>
      </c>
      <c r="M55" s="171">
        <v>0</v>
      </c>
      <c r="N55" s="171">
        <v>0</v>
      </c>
      <c r="O55" s="171">
        <v>0</v>
      </c>
      <c r="P55" s="171">
        <v>0</v>
      </c>
      <c r="Q55" s="171">
        <v>0</v>
      </c>
      <c r="R55" s="171">
        <v>0</v>
      </c>
      <c r="S55" s="171">
        <v>0</v>
      </c>
      <c r="T55" s="171">
        <v>0</v>
      </c>
      <c r="U55" s="171">
        <v>0</v>
      </c>
      <c r="V55" s="171">
        <v>0</v>
      </c>
      <c r="W55" s="171">
        <v>0</v>
      </c>
      <c r="X55" s="171">
        <v>0</v>
      </c>
      <c r="Y55" s="171">
        <v>0</v>
      </c>
      <c r="Z55" s="171">
        <v>0</v>
      </c>
      <c r="AA55" s="171">
        <v>0</v>
      </c>
      <c r="AB55" s="171">
        <v>0</v>
      </c>
      <c r="AC55" s="171">
        <f t="shared" si="39"/>
        <v>0</v>
      </c>
      <c r="AD55" s="328">
        <f t="shared" si="40"/>
        <v>0</v>
      </c>
      <c r="AE55" s="328">
        <f t="shared" si="41"/>
        <v>0</v>
      </c>
      <c r="AF55" s="328">
        <f t="shared" si="42"/>
        <v>0</v>
      </c>
      <c r="AG55" s="328">
        <f t="shared" si="43"/>
        <v>0</v>
      </c>
      <c r="AH55" s="328">
        <v>0</v>
      </c>
      <c r="AI55" s="328">
        <v>0</v>
      </c>
      <c r="AJ55" s="328">
        <v>0</v>
      </c>
      <c r="AK55" s="328">
        <v>0</v>
      </c>
      <c r="AL55" s="328">
        <v>0</v>
      </c>
      <c r="AM55" s="328">
        <v>0</v>
      </c>
      <c r="AN55" s="328">
        <v>0</v>
      </c>
      <c r="AO55" s="328">
        <v>0</v>
      </c>
      <c r="AP55" s="328">
        <v>0</v>
      </c>
      <c r="AQ55" s="171">
        <v>0</v>
      </c>
      <c r="AR55" s="328">
        <v>0</v>
      </c>
      <c r="AS55" s="171">
        <v>0</v>
      </c>
      <c r="AT55" s="328">
        <v>0</v>
      </c>
      <c r="AU55" s="171">
        <v>0</v>
      </c>
      <c r="AV55" s="171">
        <v>0</v>
      </c>
      <c r="AW55" s="328">
        <v>0</v>
      </c>
      <c r="AX55" s="171">
        <v>0</v>
      </c>
      <c r="AY55" s="328">
        <v>0</v>
      </c>
      <c r="AZ55" s="171">
        <v>0</v>
      </c>
      <c r="BA55" s="171">
        <v>0</v>
      </c>
      <c r="BB55" s="231"/>
    </row>
    <row r="56" spans="1:54" ht="18.75">
      <c r="A56" s="45" t="s">
        <v>166</v>
      </c>
      <c r="B56" s="236" t="s">
        <v>92</v>
      </c>
      <c r="C56" s="268"/>
      <c r="D56" s="171">
        <f t="shared" si="34"/>
        <v>0</v>
      </c>
      <c r="E56" s="171">
        <f t="shared" si="35"/>
        <v>0</v>
      </c>
      <c r="F56" s="171">
        <f t="shared" si="36"/>
        <v>0</v>
      </c>
      <c r="G56" s="171">
        <f t="shared" si="37"/>
        <v>0</v>
      </c>
      <c r="H56" s="171">
        <f t="shared" si="38"/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  <c r="N56" s="171">
        <v>0</v>
      </c>
      <c r="O56" s="171">
        <v>0</v>
      </c>
      <c r="P56" s="171">
        <v>0</v>
      </c>
      <c r="Q56" s="171">
        <v>0</v>
      </c>
      <c r="R56" s="171">
        <v>0</v>
      </c>
      <c r="S56" s="171">
        <v>0</v>
      </c>
      <c r="T56" s="171">
        <v>0</v>
      </c>
      <c r="U56" s="171">
        <v>0</v>
      </c>
      <c r="V56" s="171">
        <v>0</v>
      </c>
      <c r="W56" s="171">
        <v>0</v>
      </c>
      <c r="X56" s="171">
        <v>0</v>
      </c>
      <c r="Y56" s="171">
        <v>0</v>
      </c>
      <c r="Z56" s="171">
        <v>0</v>
      </c>
      <c r="AA56" s="171">
        <v>0</v>
      </c>
      <c r="AB56" s="171">
        <v>0</v>
      </c>
      <c r="AC56" s="171">
        <f t="shared" si="39"/>
        <v>0.63</v>
      </c>
      <c r="AD56" s="328">
        <f t="shared" si="40"/>
        <v>0</v>
      </c>
      <c r="AE56" s="328">
        <f t="shared" si="41"/>
        <v>0</v>
      </c>
      <c r="AF56" s="328">
        <f t="shared" si="42"/>
        <v>0</v>
      </c>
      <c r="AG56" s="328">
        <f t="shared" si="43"/>
        <v>0</v>
      </c>
      <c r="AH56" s="328">
        <v>0</v>
      </c>
      <c r="AI56" s="328">
        <v>0</v>
      </c>
      <c r="AJ56" s="328">
        <v>0</v>
      </c>
      <c r="AK56" s="328">
        <v>0</v>
      </c>
      <c r="AL56" s="328">
        <v>0</v>
      </c>
      <c r="AM56" s="328">
        <v>0</v>
      </c>
      <c r="AN56" s="328">
        <v>0</v>
      </c>
      <c r="AO56" s="328">
        <v>0</v>
      </c>
      <c r="AP56" s="328">
        <v>0</v>
      </c>
      <c r="AQ56" s="171">
        <v>0</v>
      </c>
      <c r="AR56" s="328">
        <v>0.63</v>
      </c>
      <c r="AS56" s="171">
        <v>0</v>
      </c>
      <c r="AT56" s="328">
        <v>0</v>
      </c>
      <c r="AU56" s="171">
        <v>0</v>
      </c>
      <c r="AV56" s="171">
        <v>0</v>
      </c>
      <c r="AW56" s="328">
        <v>0</v>
      </c>
      <c r="AX56" s="171">
        <v>0</v>
      </c>
      <c r="AY56" s="328">
        <v>0</v>
      </c>
      <c r="AZ56" s="171">
        <v>0</v>
      </c>
      <c r="BA56" s="171">
        <v>0</v>
      </c>
      <c r="BB56" s="231"/>
    </row>
    <row r="57" spans="1:54" ht="18.75">
      <c r="A57" s="45"/>
      <c r="B57" s="236" t="s">
        <v>94</v>
      </c>
      <c r="C57" s="268"/>
      <c r="D57" s="171">
        <f t="shared" si="34"/>
        <v>0</v>
      </c>
      <c r="E57" s="171">
        <f t="shared" si="35"/>
        <v>0</v>
      </c>
      <c r="F57" s="171">
        <f t="shared" si="36"/>
        <v>0</v>
      </c>
      <c r="G57" s="171">
        <f t="shared" si="37"/>
        <v>0</v>
      </c>
      <c r="H57" s="171">
        <f t="shared" si="38"/>
        <v>0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  <c r="N57" s="171">
        <v>0</v>
      </c>
      <c r="O57" s="171">
        <v>0</v>
      </c>
      <c r="P57" s="171">
        <v>0</v>
      </c>
      <c r="Q57" s="171">
        <v>0</v>
      </c>
      <c r="R57" s="171">
        <v>0</v>
      </c>
      <c r="S57" s="171">
        <v>0</v>
      </c>
      <c r="T57" s="171">
        <v>0</v>
      </c>
      <c r="U57" s="171">
        <v>0</v>
      </c>
      <c r="V57" s="171">
        <v>0</v>
      </c>
      <c r="W57" s="171">
        <v>0</v>
      </c>
      <c r="X57" s="171">
        <v>0</v>
      </c>
      <c r="Y57" s="171">
        <v>0</v>
      </c>
      <c r="Z57" s="171">
        <v>0</v>
      </c>
      <c r="AA57" s="171">
        <v>0</v>
      </c>
      <c r="AB57" s="171">
        <v>0</v>
      </c>
      <c r="AC57" s="171">
        <f t="shared" si="39"/>
        <v>0.4</v>
      </c>
      <c r="AD57" s="328">
        <f t="shared" si="40"/>
        <v>0</v>
      </c>
      <c r="AE57" s="328">
        <f t="shared" si="41"/>
        <v>0</v>
      </c>
      <c r="AF57" s="328">
        <f t="shared" si="42"/>
        <v>0</v>
      </c>
      <c r="AG57" s="328">
        <f t="shared" si="43"/>
        <v>0</v>
      </c>
      <c r="AH57" s="328">
        <v>0</v>
      </c>
      <c r="AI57" s="328">
        <v>0</v>
      </c>
      <c r="AJ57" s="328">
        <v>0</v>
      </c>
      <c r="AK57" s="328">
        <v>0</v>
      </c>
      <c r="AL57" s="328">
        <v>0</v>
      </c>
      <c r="AM57" s="328">
        <v>0</v>
      </c>
      <c r="AN57" s="328">
        <v>0</v>
      </c>
      <c r="AO57" s="328">
        <v>0</v>
      </c>
      <c r="AP57" s="328">
        <v>0</v>
      </c>
      <c r="AQ57" s="171">
        <v>0</v>
      </c>
      <c r="AR57" s="328">
        <v>0.4</v>
      </c>
      <c r="AS57" s="171">
        <v>0</v>
      </c>
      <c r="AT57" s="328">
        <v>0</v>
      </c>
      <c r="AU57" s="171">
        <v>0</v>
      </c>
      <c r="AV57" s="171">
        <v>0</v>
      </c>
      <c r="AW57" s="328">
        <v>0</v>
      </c>
      <c r="AX57" s="171">
        <v>0</v>
      </c>
      <c r="AY57" s="328">
        <v>0</v>
      </c>
      <c r="AZ57" s="171">
        <v>0</v>
      </c>
      <c r="BA57" s="171">
        <v>0</v>
      </c>
      <c r="BB57" s="231"/>
    </row>
    <row r="58" spans="1:54" ht="18.75">
      <c r="A58" s="45"/>
      <c r="B58" s="236" t="s">
        <v>97</v>
      </c>
      <c r="C58" s="268"/>
      <c r="D58" s="171">
        <f t="shared" si="34"/>
        <v>0</v>
      </c>
      <c r="E58" s="171">
        <f t="shared" si="35"/>
        <v>0</v>
      </c>
      <c r="F58" s="171">
        <f t="shared" si="36"/>
        <v>0</v>
      </c>
      <c r="G58" s="171">
        <f t="shared" si="37"/>
        <v>0</v>
      </c>
      <c r="H58" s="171">
        <f t="shared" si="38"/>
        <v>0</v>
      </c>
      <c r="I58" s="171">
        <v>0</v>
      </c>
      <c r="J58" s="171">
        <v>0</v>
      </c>
      <c r="K58" s="171">
        <v>0</v>
      </c>
      <c r="L58" s="171">
        <v>0</v>
      </c>
      <c r="M58" s="171">
        <v>0</v>
      </c>
      <c r="N58" s="171">
        <v>0</v>
      </c>
      <c r="O58" s="171">
        <v>0</v>
      </c>
      <c r="P58" s="171">
        <v>0</v>
      </c>
      <c r="Q58" s="171">
        <v>0</v>
      </c>
      <c r="R58" s="171">
        <v>0</v>
      </c>
      <c r="S58" s="171">
        <v>0</v>
      </c>
      <c r="T58" s="171">
        <v>0</v>
      </c>
      <c r="U58" s="171">
        <v>0</v>
      </c>
      <c r="V58" s="171">
        <v>0</v>
      </c>
      <c r="W58" s="171">
        <v>0</v>
      </c>
      <c r="X58" s="171">
        <v>0</v>
      </c>
      <c r="Y58" s="171">
        <v>0</v>
      </c>
      <c r="Z58" s="171">
        <v>0</v>
      </c>
      <c r="AA58" s="171">
        <v>0</v>
      </c>
      <c r="AB58" s="171">
        <v>0</v>
      </c>
      <c r="AC58" s="171">
        <f t="shared" si="39"/>
        <v>0</v>
      </c>
      <c r="AD58" s="328">
        <f t="shared" si="40"/>
        <v>0</v>
      </c>
      <c r="AE58" s="328">
        <f t="shared" si="41"/>
        <v>0</v>
      </c>
      <c r="AF58" s="328">
        <f t="shared" si="42"/>
        <v>0</v>
      </c>
      <c r="AG58" s="328">
        <f t="shared" si="43"/>
        <v>0.025974329999999997</v>
      </c>
      <c r="AH58" s="328">
        <v>0</v>
      </c>
      <c r="AI58" s="328">
        <v>0</v>
      </c>
      <c r="AJ58" s="328">
        <v>0</v>
      </c>
      <c r="AK58" s="328">
        <v>0</v>
      </c>
      <c r="AL58" s="328">
        <v>0</v>
      </c>
      <c r="AM58" s="328">
        <v>0</v>
      </c>
      <c r="AN58" s="328">
        <v>0</v>
      </c>
      <c r="AO58" s="328">
        <v>0</v>
      </c>
      <c r="AP58" s="328">
        <v>0</v>
      </c>
      <c r="AQ58" s="171">
        <v>0</v>
      </c>
      <c r="AR58" s="328">
        <v>0</v>
      </c>
      <c r="AS58" s="171">
        <v>0</v>
      </c>
      <c r="AT58" s="328">
        <v>0</v>
      </c>
      <c r="AU58" s="171">
        <v>0</v>
      </c>
      <c r="AV58" s="171">
        <v>0</v>
      </c>
      <c r="AW58" s="328">
        <v>0</v>
      </c>
      <c r="AX58" s="171">
        <v>0</v>
      </c>
      <c r="AY58" s="328">
        <v>0</v>
      </c>
      <c r="AZ58" s="171">
        <v>0</v>
      </c>
      <c r="BA58" s="171">
        <f>25.97433/1000</f>
        <v>0.025974329999999997</v>
      </c>
      <c r="BB58" s="231"/>
    </row>
    <row r="59" spans="1:54" ht="31.5">
      <c r="A59" s="45"/>
      <c r="B59" s="236" t="s">
        <v>99</v>
      </c>
      <c r="C59" s="268"/>
      <c r="D59" s="171">
        <f t="shared" si="34"/>
        <v>0</v>
      </c>
      <c r="E59" s="171">
        <f t="shared" si="35"/>
        <v>0</v>
      </c>
      <c r="F59" s="171">
        <f t="shared" si="36"/>
        <v>0</v>
      </c>
      <c r="G59" s="171">
        <f t="shared" si="37"/>
        <v>0</v>
      </c>
      <c r="H59" s="171">
        <f t="shared" si="38"/>
        <v>0</v>
      </c>
      <c r="I59" s="171">
        <v>0</v>
      </c>
      <c r="J59" s="171">
        <v>0</v>
      </c>
      <c r="K59" s="171">
        <v>0</v>
      </c>
      <c r="L59" s="171">
        <v>0</v>
      </c>
      <c r="M59" s="171">
        <v>0</v>
      </c>
      <c r="N59" s="171">
        <v>0</v>
      </c>
      <c r="O59" s="171">
        <v>0</v>
      </c>
      <c r="P59" s="171">
        <v>0</v>
      </c>
      <c r="Q59" s="171">
        <v>0</v>
      </c>
      <c r="R59" s="171">
        <v>0</v>
      </c>
      <c r="S59" s="171">
        <v>0</v>
      </c>
      <c r="T59" s="171">
        <v>0</v>
      </c>
      <c r="U59" s="171">
        <v>0</v>
      </c>
      <c r="V59" s="171">
        <v>0</v>
      </c>
      <c r="W59" s="171">
        <v>0</v>
      </c>
      <c r="X59" s="171">
        <v>0</v>
      </c>
      <c r="Y59" s="171">
        <v>0</v>
      </c>
      <c r="Z59" s="171">
        <v>0</v>
      </c>
      <c r="AA59" s="171">
        <v>0</v>
      </c>
      <c r="AB59" s="171">
        <v>0</v>
      </c>
      <c r="AC59" s="171">
        <f t="shared" si="39"/>
        <v>0</v>
      </c>
      <c r="AD59" s="328">
        <f t="shared" si="40"/>
        <v>0</v>
      </c>
      <c r="AE59" s="328">
        <f t="shared" si="41"/>
        <v>0</v>
      </c>
      <c r="AF59" s="328">
        <f t="shared" si="42"/>
        <v>0</v>
      </c>
      <c r="AG59" s="328">
        <f t="shared" si="43"/>
        <v>0.26415481</v>
      </c>
      <c r="AH59" s="328">
        <v>0</v>
      </c>
      <c r="AI59" s="328">
        <v>0</v>
      </c>
      <c r="AJ59" s="328">
        <v>0</v>
      </c>
      <c r="AK59" s="328">
        <v>0</v>
      </c>
      <c r="AL59" s="328">
        <v>0</v>
      </c>
      <c r="AM59" s="328">
        <v>0</v>
      </c>
      <c r="AN59" s="328">
        <v>0</v>
      </c>
      <c r="AO59" s="328">
        <v>0</v>
      </c>
      <c r="AP59" s="328">
        <v>0</v>
      </c>
      <c r="AQ59" s="171">
        <v>0</v>
      </c>
      <c r="AR59" s="328">
        <v>0</v>
      </c>
      <c r="AS59" s="171">
        <v>0</v>
      </c>
      <c r="AT59" s="328">
        <v>0</v>
      </c>
      <c r="AU59" s="171">
        <v>0</v>
      </c>
      <c r="AV59" s="171">
        <v>0</v>
      </c>
      <c r="AW59" s="328">
        <v>0</v>
      </c>
      <c r="AX59" s="171">
        <v>0</v>
      </c>
      <c r="AY59" s="328">
        <v>0</v>
      </c>
      <c r="AZ59" s="171">
        <v>0</v>
      </c>
      <c r="BA59" s="171">
        <f>264.15481/1000</f>
        <v>0.26415481</v>
      </c>
      <c r="BB59" s="231"/>
    </row>
    <row r="60" spans="1:54" ht="31.5">
      <c r="A60" s="49" t="s">
        <v>100</v>
      </c>
      <c r="B60" s="230" t="s">
        <v>101</v>
      </c>
      <c r="C60" s="268"/>
      <c r="D60" s="171">
        <f aca="true" t="shared" si="44" ref="D60:AD60">SUM(D61:D72)</f>
        <v>0</v>
      </c>
      <c r="E60" s="171">
        <f t="shared" si="44"/>
        <v>0</v>
      </c>
      <c r="F60" s="171">
        <f t="shared" si="44"/>
        <v>0</v>
      </c>
      <c r="G60" s="171">
        <f t="shared" si="44"/>
        <v>0</v>
      </c>
      <c r="H60" s="171">
        <f t="shared" si="44"/>
        <v>0</v>
      </c>
      <c r="I60" s="171">
        <f t="shared" si="44"/>
        <v>0</v>
      </c>
      <c r="J60" s="171">
        <f t="shared" si="44"/>
        <v>0</v>
      </c>
      <c r="K60" s="171">
        <f t="shared" si="44"/>
        <v>0</v>
      </c>
      <c r="L60" s="171">
        <f t="shared" si="44"/>
        <v>0</v>
      </c>
      <c r="M60" s="171">
        <f t="shared" si="44"/>
        <v>0</v>
      </c>
      <c r="N60" s="171">
        <f t="shared" si="44"/>
        <v>0</v>
      </c>
      <c r="O60" s="171">
        <f t="shared" si="44"/>
        <v>0</v>
      </c>
      <c r="P60" s="171">
        <f t="shared" si="44"/>
        <v>0</v>
      </c>
      <c r="Q60" s="171">
        <f t="shared" si="44"/>
        <v>0</v>
      </c>
      <c r="R60" s="171">
        <f t="shared" si="44"/>
        <v>0</v>
      </c>
      <c r="S60" s="171">
        <f t="shared" si="44"/>
        <v>0</v>
      </c>
      <c r="T60" s="171">
        <f t="shared" si="44"/>
        <v>0</v>
      </c>
      <c r="U60" s="171">
        <f t="shared" si="44"/>
        <v>0</v>
      </c>
      <c r="V60" s="171">
        <f t="shared" si="44"/>
        <v>0</v>
      </c>
      <c r="W60" s="171">
        <f t="shared" si="44"/>
        <v>0</v>
      </c>
      <c r="X60" s="171">
        <f t="shared" si="44"/>
        <v>0</v>
      </c>
      <c r="Y60" s="171">
        <f t="shared" si="44"/>
        <v>0</v>
      </c>
      <c r="Z60" s="171">
        <f t="shared" si="44"/>
        <v>0</v>
      </c>
      <c r="AA60" s="171">
        <f t="shared" si="44"/>
        <v>0</v>
      </c>
      <c r="AB60" s="171">
        <f t="shared" si="44"/>
        <v>0</v>
      </c>
      <c r="AC60" s="171">
        <f t="shared" si="44"/>
        <v>0</v>
      </c>
      <c r="AD60" s="328">
        <f t="shared" si="44"/>
        <v>0</v>
      </c>
      <c r="AE60" s="328">
        <f t="shared" si="41"/>
        <v>0.855</v>
      </c>
      <c r="AF60" s="328">
        <f aca="true" t="shared" si="45" ref="AF60:BA60">SUM(AF61:AF72)</f>
        <v>0</v>
      </c>
      <c r="AG60" s="328">
        <f t="shared" si="45"/>
        <v>0</v>
      </c>
      <c r="AH60" s="328">
        <f t="shared" si="45"/>
        <v>0</v>
      </c>
      <c r="AI60" s="328">
        <f t="shared" si="45"/>
        <v>0</v>
      </c>
      <c r="AJ60" s="328">
        <f t="shared" si="45"/>
        <v>0.025</v>
      </c>
      <c r="AK60" s="328">
        <f t="shared" si="45"/>
        <v>0</v>
      </c>
      <c r="AL60" s="328">
        <f t="shared" si="45"/>
        <v>0</v>
      </c>
      <c r="AM60" s="328">
        <f t="shared" si="45"/>
        <v>0</v>
      </c>
      <c r="AN60" s="328">
        <f t="shared" si="45"/>
        <v>0</v>
      </c>
      <c r="AO60" s="328">
        <f t="shared" si="45"/>
        <v>0.83</v>
      </c>
      <c r="AP60" s="328">
        <f t="shared" si="45"/>
        <v>0</v>
      </c>
      <c r="AQ60" s="171">
        <f t="shared" si="45"/>
        <v>0</v>
      </c>
      <c r="AR60" s="328">
        <f t="shared" si="45"/>
        <v>0</v>
      </c>
      <c r="AS60" s="171">
        <f t="shared" si="45"/>
        <v>0</v>
      </c>
      <c r="AT60" s="328">
        <f t="shared" si="45"/>
        <v>0</v>
      </c>
      <c r="AU60" s="171">
        <f t="shared" si="45"/>
        <v>0</v>
      </c>
      <c r="AV60" s="171">
        <f t="shared" si="45"/>
        <v>0</v>
      </c>
      <c r="AW60" s="328">
        <f t="shared" si="45"/>
        <v>0</v>
      </c>
      <c r="AX60" s="171">
        <f t="shared" si="45"/>
        <v>0</v>
      </c>
      <c r="AY60" s="328">
        <f t="shared" si="45"/>
        <v>0</v>
      </c>
      <c r="AZ60" s="171">
        <f t="shared" si="45"/>
        <v>0</v>
      </c>
      <c r="BA60" s="171">
        <f t="shared" si="45"/>
        <v>0</v>
      </c>
      <c r="BB60" s="231"/>
    </row>
    <row r="61" spans="1:54" ht="47.25">
      <c r="A61" s="45" t="s">
        <v>102</v>
      </c>
      <c r="B61" s="228" t="s">
        <v>105</v>
      </c>
      <c r="C61" s="268"/>
      <c r="D61" s="171">
        <f aca="true" t="shared" si="46" ref="D61:D72">I61+N61+S61+X61</f>
        <v>0</v>
      </c>
      <c r="E61" s="171">
        <f aca="true" t="shared" si="47" ref="E61:E72">J61+O61+T61+Y61</f>
        <v>0</v>
      </c>
      <c r="F61" s="171">
        <f aca="true" t="shared" si="48" ref="F61:F72">K61+P61+U61+Z61</f>
        <v>0</v>
      </c>
      <c r="G61" s="171">
        <f aca="true" t="shared" si="49" ref="G61:G72">L61+Q61+V61+AA61</f>
        <v>0</v>
      </c>
      <c r="H61" s="171">
        <f aca="true" t="shared" si="50" ref="H61:H72">M61+R61+W61+AB61</f>
        <v>0</v>
      </c>
      <c r="I61" s="171">
        <v>0</v>
      </c>
      <c r="J61" s="171">
        <v>0</v>
      </c>
      <c r="K61" s="171">
        <v>0</v>
      </c>
      <c r="L61" s="171">
        <v>0</v>
      </c>
      <c r="M61" s="171">
        <v>0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0</v>
      </c>
      <c r="AA61" s="171">
        <v>0</v>
      </c>
      <c r="AB61" s="171">
        <v>0</v>
      </c>
      <c r="AC61" s="171">
        <f aca="true" t="shared" si="51" ref="AC61:AC72">AH61+AM61+AR61+AW61</f>
        <v>0</v>
      </c>
      <c r="AD61" s="328">
        <f aca="true" t="shared" si="52" ref="AD61:AD72">AI61+AN61+AS61+AX61</f>
        <v>0</v>
      </c>
      <c r="AE61" s="328">
        <f t="shared" si="41"/>
        <v>0.025</v>
      </c>
      <c r="AF61" s="328">
        <f aca="true" t="shared" si="53" ref="AF61:AF72">AK61+AP61+AU61+AZ61</f>
        <v>0</v>
      </c>
      <c r="AG61" s="328">
        <f aca="true" t="shared" si="54" ref="AG61:AG72">AL61+AQ61+AV61+BA61</f>
        <v>0</v>
      </c>
      <c r="AH61" s="328">
        <v>0</v>
      </c>
      <c r="AI61" s="328">
        <v>0</v>
      </c>
      <c r="AJ61" s="328">
        <v>0.025</v>
      </c>
      <c r="AK61" s="328">
        <v>0</v>
      </c>
      <c r="AL61" s="328">
        <v>0</v>
      </c>
      <c r="AM61" s="328">
        <v>0</v>
      </c>
      <c r="AN61" s="328">
        <v>0</v>
      </c>
      <c r="AO61" s="328">
        <v>0</v>
      </c>
      <c r="AP61" s="328">
        <v>0</v>
      </c>
      <c r="AQ61" s="171">
        <v>0</v>
      </c>
      <c r="AR61" s="328">
        <v>0</v>
      </c>
      <c r="AS61" s="171">
        <v>0</v>
      </c>
      <c r="AT61" s="328">
        <v>0</v>
      </c>
      <c r="AU61" s="171">
        <v>0</v>
      </c>
      <c r="AV61" s="171">
        <v>0</v>
      </c>
      <c r="AW61" s="328">
        <v>0</v>
      </c>
      <c r="AX61" s="171">
        <v>0</v>
      </c>
      <c r="AY61" s="328">
        <v>0</v>
      </c>
      <c r="AZ61" s="171">
        <v>0</v>
      </c>
      <c r="BA61" s="171">
        <v>0</v>
      </c>
      <c r="BB61" s="231"/>
    </row>
    <row r="62" spans="1:54" ht="31.5">
      <c r="A62" s="45" t="s">
        <v>104</v>
      </c>
      <c r="B62" s="228" t="s">
        <v>103</v>
      </c>
      <c r="C62" s="268"/>
      <c r="D62" s="171">
        <f t="shared" si="46"/>
        <v>0</v>
      </c>
      <c r="E62" s="171">
        <f t="shared" si="47"/>
        <v>0</v>
      </c>
      <c r="F62" s="171">
        <f t="shared" si="48"/>
        <v>0</v>
      </c>
      <c r="G62" s="171">
        <f t="shared" si="49"/>
        <v>0</v>
      </c>
      <c r="H62" s="171">
        <f t="shared" si="50"/>
        <v>0</v>
      </c>
      <c r="I62" s="171">
        <v>0</v>
      </c>
      <c r="J62" s="171">
        <v>0</v>
      </c>
      <c r="K62" s="171">
        <v>0</v>
      </c>
      <c r="L62" s="171">
        <v>0</v>
      </c>
      <c r="M62" s="171">
        <v>0</v>
      </c>
      <c r="N62" s="171">
        <v>0</v>
      </c>
      <c r="O62" s="171">
        <v>0</v>
      </c>
      <c r="P62" s="171">
        <v>0</v>
      </c>
      <c r="Q62" s="171">
        <v>0</v>
      </c>
      <c r="R62" s="171">
        <v>0</v>
      </c>
      <c r="S62" s="171">
        <v>0</v>
      </c>
      <c r="T62" s="171">
        <v>0</v>
      </c>
      <c r="U62" s="171">
        <v>0</v>
      </c>
      <c r="V62" s="171">
        <v>0</v>
      </c>
      <c r="W62" s="171">
        <v>0</v>
      </c>
      <c r="X62" s="171">
        <v>0</v>
      </c>
      <c r="Y62" s="171">
        <v>0</v>
      </c>
      <c r="Z62" s="171">
        <v>0</v>
      </c>
      <c r="AA62" s="171">
        <v>0</v>
      </c>
      <c r="AB62" s="171">
        <v>0</v>
      </c>
      <c r="AC62" s="171">
        <f t="shared" si="51"/>
        <v>0</v>
      </c>
      <c r="AD62" s="328">
        <f t="shared" si="52"/>
        <v>0</v>
      </c>
      <c r="AE62" s="328">
        <f t="shared" si="41"/>
        <v>0</v>
      </c>
      <c r="AF62" s="328">
        <f t="shared" si="53"/>
        <v>0</v>
      </c>
      <c r="AG62" s="328">
        <f t="shared" si="54"/>
        <v>0</v>
      </c>
      <c r="AH62" s="328">
        <v>0</v>
      </c>
      <c r="AI62" s="328">
        <v>0</v>
      </c>
      <c r="AJ62" s="328">
        <v>0</v>
      </c>
      <c r="AK62" s="328">
        <v>0</v>
      </c>
      <c r="AL62" s="328">
        <v>0</v>
      </c>
      <c r="AM62" s="328">
        <v>0</v>
      </c>
      <c r="AN62" s="328">
        <v>0</v>
      </c>
      <c r="AO62" s="328">
        <v>0</v>
      </c>
      <c r="AP62" s="328">
        <v>0</v>
      </c>
      <c r="AQ62" s="171">
        <v>0</v>
      </c>
      <c r="AR62" s="328">
        <v>0</v>
      </c>
      <c r="AS62" s="171">
        <v>0</v>
      </c>
      <c r="AT62" s="328">
        <v>0</v>
      </c>
      <c r="AU62" s="171">
        <v>0</v>
      </c>
      <c r="AV62" s="171">
        <v>0</v>
      </c>
      <c r="AW62" s="328">
        <v>0</v>
      </c>
      <c r="AX62" s="171">
        <v>0</v>
      </c>
      <c r="AY62" s="328">
        <v>0</v>
      </c>
      <c r="AZ62" s="171">
        <v>0</v>
      </c>
      <c r="BA62" s="171">
        <v>0</v>
      </c>
      <c r="BB62" s="231"/>
    </row>
    <row r="63" spans="1:54" ht="18.75">
      <c r="A63" s="45" t="s">
        <v>106</v>
      </c>
      <c r="B63" s="228" t="s">
        <v>107</v>
      </c>
      <c r="C63" s="268"/>
      <c r="D63" s="171">
        <f t="shared" si="46"/>
        <v>0</v>
      </c>
      <c r="E63" s="171">
        <f t="shared" si="47"/>
        <v>0</v>
      </c>
      <c r="F63" s="171">
        <f t="shared" si="48"/>
        <v>0</v>
      </c>
      <c r="G63" s="171">
        <f t="shared" si="49"/>
        <v>0</v>
      </c>
      <c r="H63" s="171">
        <f t="shared" si="50"/>
        <v>0</v>
      </c>
      <c r="I63" s="171">
        <v>0</v>
      </c>
      <c r="J63" s="171">
        <v>0</v>
      </c>
      <c r="K63" s="171">
        <v>0</v>
      </c>
      <c r="L63" s="171">
        <v>0</v>
      </c>
      <c r="M63" s="171">
        <v>0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0</v>
      </c>
      <c r="V63" s="171">
        <v>0</v>
      </c>
      <c r="W63" s="171">
        <v>0</v>
      </c>
      <c r="X63" s="171">
        <v>0</v>
      </c>
      <c r="Y63" s="171">
        <v>0</v>
      </c>
      <c r="Z63" s="171">
        <v>0</v>
      </c>
      <c r="AA63" s="171">
        <v>0</v>
      </c>
      <c r="AB63" s="171">
        <v>0</v>
      </c>
      <c r="AC63" s="171">
        <f t="shared" si="51"/>
        <v>0</v>
      </c>
      <c r="AD63" s="328">
        <f t="shared" si="52"/>
        <v>0</v>
      </c>
      <c r="AE63" s="328">
        <f t="shared" si="41"/>
        <v>0.83</v>
      </c>
      <c r="AF63" s="328">
        <f t="shared" si="53"/>
        <v>0</v>
      </c>
      <c r="AG63" s="328">
        <f t="shared" si="54"/>
        <v>0</v>
      </c>
      <c r="AH63" s="328">
        <v>0</v>
      </c>
      <c r="AI63" s="328">
        <v>0</v>
      </c>
      <c r="AJ63" s="328">
        <v>0</v>
      </c>
      <c r="AK63" s="328">
        <v>0</v>
      </c>
      <c r="AL63" s="328">
        <v>0</v>
      </c>
      <c r="AM63" s="328">
        <v>0</v>
      </c>
      <c r="AN63" s="328">
        <v>0</v>
      </c>
      <c r="AO63" s="328">
        <v>0.83</v>
      </c>
      <c r="AP63" s="328">
        <v>0</v>
      </c>
      <c r="AQ63" s="171">
        <v>0</v>
      </c>
      <c r="AR63" s="328">
        <v>0</v>
      </c>
      <c r="AS63" s="171">
        <v>0</v>
      </c>
      <c r="AT63" s="328">
        <v>0</v>
      </c>
      <c r="AU63" s="171">
        <v>0</v>
      </c>
      <c r="AV63" s="171">
        <v>0</v>
      </c>
      <c r="AW63" s="328">
        <v>0</v>
      </c>
      <c r="AX63" s="171">
        <v>0</v>
      </c>
      <c r="AY63" s="328">
        <v>0</v>
      </c>
      <c r="AZ63" s="171">
        <v>0</v>
      </c>
      <c r="BA63" s="171">
        <v>0</v>
      </c>
      <c r="BB63" s="231"/>
    </row>
    <row r="64" spans="1:54" ht="31.5">
      <c r="A64" s="45"/>
      <c r="B64" s="236" t="s">
        <v>109</v>
      </c>
      <c r="C64" s="268"/>
      <c r="D64" s="171">
        <f t="shared" si="46"/>
        <v>0</v>
      </c>
      <c r="E64" s="171">
        <f t="shared" si="47"/>
        <v>0</v>
      </c>
      <c r="F64" s="171">
        <f t="shared" si="48"/>
        <v>0</v>
      </c>
      <c r="G64" s="171">
        <f t="shared" si="49"/>
        <v>0</v>
      </c>
      <c r="H64" s="171">
        <f t="shared" si="50"/>
        <v>0</v>
      </c>
      <c r="I64" s="171">
        <v>0</v>
      </c>
      <c r="J64" s="171">
        <v>0</v>
      </c>
      <c r="K64" s="171">
        <v>0</v>
      </c>
      <c r="L64" s="171">
        <v>0</v>
      </c>
      <c r="M64" s="171">
        <v>0</v>
      </c>
      <c r="N64" s="171">
        <v>0</v>
      </c>
      <c r="O64" s="171">
        <v>0</v>
      </c>
      <c r="P64" s="171">
        <v>0</v>
      </c>
      <c r="Q64" s="171">
        <v>0</v>
      </c>
      <c r="R64" s="171">
        <v>0</v>
      </c>
      <c r="S64" s="171">
        <v>0</v>
      </c>
      <c r="T64" s="171">
        <v>0</v>
      </c>
      <c r="U64" s="171">
        <v>0</v>
      </c>
      <c r="V64" s="171">
        <v>0</v>
      </c>
      <c r="W64" s="171">
        <v>0</v>
      </c>
      <c r="X64" s="171">
        <v>0</v>
      </c>
      <c r="Y64" s="171">
        <v>0</v>
      </c>
      <c r="Z64" s="171">
        <v>0</v>
      </c>
      <c r="AA64" s="171">
        <v>0</v>
      </c>
      <c r="AB64" s="171">
        <v>0</v>
      </c>
      <c r="AC64" s="171">
        <f t="shared" si="51"/>
        <v>0</v>
      </c>
      <c r="AD64" s="328">
        <f t="shared" si="52"/>
        <v>0</v>
      </c>
      <c r="AE64" s="328">
        <f t="shared" si="41"/>
        <v>0</v>
      </c>
      <c r="AF64" s="328">
        <f t="shared" si="53"/>
        <v>0</v>
      </c>
      <c r="AG64" s="328">
        <f t="shared" si="54"/>
        <v>0</v>
      </c>
      <c r="AH64" s="328">
        <v>0</v>
      </c>
      <c r="AI64" s="328">
        <v>0</v>
      </c>
      <c r="AJ64" s="328">
        <v>0</v>
      </c>
      <c r="AK64" s="328">
        <v>0</v>
      </c>
      <c r="AL64" s="328">
        <v>0</v>
      </c>
      <c r="AM64" s="328">
        <v>0</v>
      </c>
      <c r="AN64" s="328">
        <v>0</v>
      </c>
      <c r="AO64" s="328">
        <v>0</v>
      </c>
      <c r="AP64" s="328">
        <v>0</v>
      </c>
      <c r="AQ64" s="171">
        <v>0</v>
      </c>
      <c r="AR64" s="328">
        <v>0</v>
      </c>
      <c r="AS64" s="171">
        <v>0</v>
      </c>
      <c r="AT64" s="328">
        <v>0</v>
      </c>
      <c r="AU64" s="171">
        <v>0</v>
      </c>
      <c r="AV64" s="171">
        <v>0</v>
      </c>
      <c r="AW64" s="328">
        <v>0</v>
      </c>
      <c r="AX64" s="171">
        <v>0</v>
      </c>
      <c r="AY64" s="328">
        <v>0</v>
      </c>
      <c r="AZ64" s="171">
        <v>0</v>
      </c>
      <c r="BA64" s="171">
        <v>0</v>
      </c>
      <c r="BB64" s="231"/>
    </row>
    <row r="65" spans="1:54" ht="18.75">
      <c r="A65" s="45"/>
      <c r="B65" s="236" t="s">
        <v>111</v>
      </c>
      <c r="C65" s="268"/>
      <c r="D65" s="171">
        <f t="shared" si="46"/>
        <v>0</v>
      </c>
      <c r="E65" s="171">
        <f t="shared" si="47"/>
        <v>0</v>
      </c>
      <c r="F65" s="171">
        <f t="shared" si="48"/>
        <v>0</v>
      </c>
      <c r="G65" s="171">
        <f t="shared" si="49"/>
        <v>0</v>
      </c>
      <c r="H65" s="171">
        <f t="shared" si="50"/>
        <v>0</v>
      </c>
      <c r="I65" s="171">
        <v>0</v>
      </c>
      <c r="J65" s="171">
        <v>0</v>
      </c>
      <c r="K65" s="171">
        <v>0</v>
      </c>
      <c r="L65" s="171">
        <v>0</v>
      </c>
      <c r="M65" s="171">
        <v>0</v>
      </c>
      <c r="N65" s="171">
        <v>0</v>
      </c>
      <c r="O65" s="171">
        <v>0</v>
      </c>
      <c r="P65" s="171">
        <v>0</v>
      </c>
      <c r="Q65" s="171">
        <v>0</v>
      </c>
      <c r="R65" s="171">
        <v>0</v>
      </c>
      <c r="S65" s="171">
        <v>0</v>
      </c>
      <c r="T65" s="171">
        <v>0</v>
      </c>
      <c r="U65" s="171">
        <v>0</v>
      </c>
      <c r="V65" s="171">
        <v>0</v>
      </c>
      <c r="W65" s="171">
        <v>0</v>
      </c>
      <c r="X65" s="171">
        <v>0</v>
      </c>
      <c r="Y65" s="171">
        <v>0</v>
      </c>
      <c r="Z65" s="171">
        <v>0</v>
      </c>
      <c r="AA65" s="171">
        <v>0</v>
      </c>
      <c r="AB65" s="171">
        <v>0</v>
      </c>
      <c r="AC65" s="171">
        <f t="shared" si="51"/>
        <v>0</v>
      </c>
      <c r="AD65" s="328">
        <f t="shared" si="52"/>
        <v>0</v>
      </c>
      <c r="AE65" s="328">
        <f t="shared" si="41"/>
        <v>0</v>
      </c>
      <c r="AF65" s="328">
        <f t="shared" si="53"/>
        <v>0</v>
      </c>
      <c r="AG65" s="328">
        <f t="shared" si="54"/>
        <v>0</v>
      </c>
      <c r="AH65" s="328">
        <v>0</v>
      </c>
      <c r="AI65" s="328">
        <v>0</v>
      </c>
      <c r="AJ65" s="328">
        <v>0</v>
      </c>
      <c r="AK65" s="328">
        <v>0</v>
      </c>
      <c r="AL65" s="328">
        <v>0</v>
      </c>
      <c r="AM65" s="328">
        <v>0</v>
      </c>
      <c r="AN65" s="328">
        <v>0</v>
      </c>
      <c r="AO65" s="328">
        <v>0</v>
      </c>
      <c r="AP65" s="328">
        <v>0</v>
      </c>
      <c r="AQ65" s="171">
        <v>0</v>
      </c>
      <c r="AR65" s="328">
        <v>0</v>
      </c>
      <c r="AS65" s="171">
        <v>0</v>
      </c>
      <c r="AT65" s="328">
        <v>0</v>
      </c>
      <c r="AU65" s="171">
        <v>0</v>
      </c>
      <c r="AV65" s="171">
        <v>0</v>
      </c>
      <c r="AW65" s="328">
        <v>0</v>
      </c>
      <c r="AX65" s="171">
        <v>0</v>
      </c>
      <c r="AY65" s="328">
        <v>0</v>
      </c>
      <c r="AZ65" s="171">
        <v>0</v>
      </c>
      <c r="BA65" s="171">
        <v>0</v>
      </c>
      <c r="BB65" s="231"/>
    </row>
    <row r="66" spans="1:54" ht="31.5">
      <c r="A66" s="45"/>
      <c r="B66" s="236" t="s">
        <v>113</v>
      </c>
      <c r="C66" s="268"/>
      <c r="D66" s="171">
        <f t="shared" si="46"/>
        <v>0</v>
      </c>
      <c r="E66" s="171">
        <f t="shared" si="47"/>
        <v>0</v>
      </c>
      <c r="F66" s="171">
        <f t="shared" si="48"/>
        <v>0</v>
      </c>
      <c r="G66" s="171">
        <f t="shared" si="49"/>
        <v>0</v>
      </c>
      <c r="H66" s="171">
        <f t="shared" si="50"/>
        <v>0</v>
      </c>
      <c r="I66" s="171">
        <v>0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71">
        <v>0</v>
      </c>
      <c r="R66" s="171">
        <v>0</v>
      </c>
      <c r="S66" s="171">
        <v>0</v>
      </c>
      <c r="T66" s="171">
        <v>0</v>
      </c>
      <c r="U66" s="171">
        <v>0</v>
      </c>
      <c r="V66" s="171">
        <v>0</v>
      </c>
      <c r="W66" s="171">
        <v>0</v>
      </c>
      <c r="X66" s="171">
        <v>0</v>
      </c>
      <c r="Y66" s="171">
        <v>0</v>
      </c>
      <c r="Z66" s="171">
        <v>0</v>
      </c>
      <c r="AA66" s="171">
        <v>0</v>
      </c>
      <c r="AB66" s="171">
        <v>0</v>
      </c>
      <c r="AC66" s="171">
        <f t="shared" si="51"/>
        <v>0</v>
      </c>
      <c r="AD66" s="328">
        <f t="shared" si="52"/>
        <v>0</v>
      </c>
      <c r="AE66" s="328">
        <f t="shared" si="41"/>
        <v>0</v>
      </c>
      <c r="AF66" s="328">
        <f t="shared" si="53"/>
        <v>0</v>
      </c>
      <c r="AG66" s="328">
        <f t="shared" si="54"/>
        <v>0</v>
      </c>
      <c r="AH66" s="328">
        <v>0</v>
      </c>
      <c r="AI66" s="328">
        <v>0</v>
      </c>
      <c r="AJ66" s="328">
        <v>0</v>
      </c>
      <c r="AK66" s="328">
        <v>0</v>
      </c>
      <c r="AL66" s="328">
        <v>0</v>
      </c>
      <c r="AM66" s="328">
        <v>0</v>
      </c>
      <c r="AN66" s="328">
        <v>0</v>
      </c>
      <c r="AO66" s="328">
        <v>0</v>
      </c>
      <c r="AP66" s="328">
        <v>0</v>
      </c>
      <c r="AQ66" s="171">
        <v>0</v>
      </c>
      <c r="AR66" s="328">
        <v>0</v>
      </c>
      <c r="AS66" s="171">
        <v>0</v>
      </c>
      <c r="AT66" s="328">
        <v>0</v>
      </c>
      <c r="AU66" s="171">
        <v>0</v>
      </c>
      <c r="AV66" s="171">
        <v>0</v>
      </c>
      <c r="AW66" s="328">
        <v>0</v>
      </c>
      <c r="AX66" s="171">
        <v>0</v>
      </c>
      <c r="AY66" s="328">
        <v>0</v>
      </c>
      <c r="AZ66" s="171">
        <v>0</v>
      </c>
      <c r="BA66" s="171">
        <v>0</v>
      </c>
      <c r="BB66" s="231"/>
    </row>
    <row r="67" spans="1:54" ht="31.5">
      <c r="A67" s="45"/>
      <c r="B67" s="236" t="s">
        <v>115</v>
      </c>
      <c r="C67" s="268"/>
      <c r="D67" s="171">
        <f t="shared" si="46"/>
        <v>0</v>
      </c>
      <c r="E67" s="171">
        <f t="shared" si="47"/>
        <v>0</v>
      </c>
      <c r="F67" s="171">
        <f t="shared" si="48"/>
        <v>0</v>
      </c>
      <c r="G67" s="171">
        <f t="shared" si="49"/>
        <v>0</v>
      </c>
      <c r="H67" s="171">
        <f t="shared" si="50"/>
        <v>0</v>
      </c>
      <c r="I67" s="171">
        <v>0</v>
      </c>
      <c r="J67" s="171">
        <v>0</v>
      </c>
      <c r="K67" s="171">
        <v>0</v>
      </c>
      <c r="L67" s="171">
        <v>0</v>
      </c>
      <c r="M67" s="171">
        <v>0</v>
      </c>
      <c r="N67" s="171">
        <v>0</v>
      </c>
      <c r="O67" s="171">
        <v>0</v>
      </c>
      <c r="P67" s="171">
        <v>0</v>
      </c>
      <c r="Q67" s="171">
        <v>0</v>
      </c>
      <c r="R67" s="171">
        <v>0</v>
      </c>
      <c r="S67" s="171">
        <v>0</v>
      </c>
      <c r="T67" s="171">
        <v>0</v>
      </c>
      <c r="U67" s="171">
        <v>0</v>
      </c>
      <c r="V67" s="171">
        <v>0</v>
      </c>
      <c r="W67" s="171">
        <v>0</v>
      </c>
      <c r="X67" s="171">
        <v>0</v>
      </c>
      <c r="Y67" s="171">
        <v>0</v>
      </c>
      <c r="Z67" s="171">
        <v>0</v>
      </c>
      <c r="AA67" s="171">
        <v>0</v>
      </c>
      <c r="AB67" s="171">
        <v>0</v>
      </c>
      <c r="AC67" s="171">
        <f t="shared" si="51"/>
        <v>0</v>
      </c>
      <c r="AD67" s="328">
        <f t="shared" si="52"/>
        <v>0</v>
      </c>
      <c r="AE67" s="328">
        <f t="shared" si="41"/>
        <v>0</v>
      </c>
      <c r="AF67" s="328">
        <f t="shared" si="53"/>
        <v>0</v>
      </c>
      <c r="AG67" s="328">
        <f t="shared" si="54"/>
        <v>0</v>
      </c>
      <c r="AH67" s="328">
        <v>0</v>
      </c>
      <c r="AI67" s="328">
        <v>0</v>
      </c>
      <c r="AJ67" s="328">
        <v>0</v>
      </c>
      <c r="AK67" s="328">
        <v>0</v>
      </c>
      <c r="AL67" s="328">
        <v>0</v>
      </c>
      <c r="AM67" s="328">
        <v>0</v>
      </c>
      <c r="AN67" s="328">
        <v>0</v>
      </c>
      <c r="AO67" s="328">
        <v>0</v>
      </c>
      <c r="AP67" s="328">
        <v>0</v>
      </c>
      <c r="AQ67" s="171">
        <v>0</v>
      </c>
      <c r="AR67" s="328">
        <v>0</v>
      </c>
      <c r="AS67" s="171">
        <v>0</v>
      </c>
      <c r="AT67" s="328">
        <v>0</v>
      </c>
      <c r="AU67" s="171">
        <v>0</v>
      </c>
      <c r="AV67" s="171">
        <v>0</v>
      </c>
      <c r="AW67" s="328">
        <v>0</v>
      </c>
      <c r="AX67" s="171">
        <v>0</v>
      </c>
      <c r="AY67" s="328">
        <v>0</v>
      </c>
      <c r="AZ67" s="171">
        <v>0</v>
      </c>
      <c r="BA67" s="171">
        <v>0</v>
      </c>
      <c r="BB67" s="231"/>
    </row>
    <row r="68" spans="1:54" ht="31.5">
      <c r="A68" s="45"/>
      <c r="B68" s="236" t="s">
        <v>117</v>
      </c>
      <c r="C68" s="268"/>
      <c r="D68" s="171">
        <f t="shared" si="46"/>
        <v>0</v>
      </c>
      <c r="E68" s="171">
        <f t="shared" si="47"/>
        <v>0</v>
      </c>
      <c r="F68" s="171">
        <f t="shared" si="48"/>
        <v>0</v>
      </c>
      <c r="G68" s="171">
        <f t="shared" si="49"/>
        <v>0</v>
      </c>
      <c r="H68" s="171">
        <f t="shared" si="50"/>
        <v>0</v>
      </c>
      <c r="I68" s="171">
        <v>0</v>
      </c>
      <c r="J68" s="171">
        <v>0</v>
      </c>
      <c r="K68" s="171">
        <v>0</v>
      </c>
      <c r="L68" s="171">
        <v>0</v>
      </c>
      <c r="M68" s="171">
        <v>0</v>
      </c>
      <c r="N68" s="171">
        <v>0</v>
      </c>
      <c r="O68" s="171">
        <v>0</v>
      </c>
      <c r="P68" s="171">
        <v>0</v>
      </c>
      <c r="Q68" s="171">
        <v>0</v>
      </c>
      <c r="R68" s="171">
        <v>0</v>
      </c>
      <c r="S68" s="171">
        <v>0</v>
      </c>
      <c r="T68" s="171">
        <v>0</v>
      </c>
      <c r="U68" s="171">
        <v>0</v>
      </c>
      <c r="V68" s="171">
        <v>0</v>
      </c>
      <c r="W68" s="171">
        <v>0</v>
      </c>
      <c r="X68" s="171">
        <v>0</v>
      </c>
      <c r="Y68" s="171">
        <v>0</v>
      </c>
      <c r="Z68" s="171">
        <v>0</v>
      </c>
      <c r="AA68" s="171">
        <v>0</v>
      </c>
      <c r="AB68" s="171">
        <v>0</v>
      </c>
      <c r="AC68" s="171">
        <f t="shared" si="51"/>
        <v>0</v>
      </c>
      <c r="AD68" s="328">
        <f t="shared" si="52"/>
        <v>0</v>
      </c>
      <c r="AE68" s="328">
        <f t="shared" si="41"/>
        <v>0</v>
      </c>
      <c r="AF68" s="328">
        <f t="shared" si="53"/>
        <v>0</v>
      </c>
      <c r="AG68" s="328">
        <f t="shared" si="54"/>
        <v>0</v>
      </c>
      <c r="AH68" s="328">
        <v>0</v>
      </c>
      <c r="AI68" s="328">
        <v>0</v>
      </c>
      <c r="AJ68" s="328">
        <v>0</v>
      </c>
      <c r="AK68" s="328">
        <v>0</v>
      </c>
      <c r="AL68" s="328">
        <v>0</v>
      </c>
      <c r="AM68" s="328">
        <v>0</v>
      </c>
      <c r="AN68" s="328">
        <v>0</v>
      </c>
      <c r="AO68" s="328">
        <v>0</v>
      </c>
      <c r="AP68" s="328">
        <v>0</v>
      </c>
      <c r="AQ68" s="171">
        <v>0</v>
      </c>
      <c r="AR68" s="328">
        <v>0</v>
      </c>
      <c r="AS68" s="171">
        <v>0</v>
      </c>
      <c r="AT68" s="328">
        <v>0</v>
      </c>
      <c r="AU68" s="171">
        <v>0</v>
      </c>
      <c r="AV68" s="171">
        <v>0</v>
      </c>
      <c r="AW68" s="328">
        <v>0</v>
      </c>
      <c r="AX68" s="171">
        <v>0</v>
      </c>
      <c r="AY68" s="328">
        <v>0</v>
      </c>
      <c r="AZ68" s="171">
        <v>0</v>
      </c>
      <c r="BA68" s="171">
        <v>0</v>
      </c>
      <c r="BB68" s="231"/>
    </row>
    <row r="69" spans="1:54" ht="31.5">
      <c r="A69" s="45"/>
      <c r="B69" s="236" t="s">
        <v>119</v>
      </c>
      <c r="C69" s="268"/>
      <c r="D69" s="171">
        <f t="shared" si="46"/>
        <v>0</v>
      </c>
      <c r="E69" s="171">
        <f t="shared" si="47"/>
        <v>0</v>
      </c>
      <c r="F69" s="171">
        <f t="shared" si="48"/>
        <v>0</v>
      </c>
      <c r="G69" s="171">
        <f t="shared" si="49"/>
        <v>0</v>
      </c>
      <c r="H69" s="171">
        <f t="shared" si="50"/>
        <v>0</v>
      </c>
      <c r="I69" s="171">
        <v>0</v>
      </c>
      <c r="J69" s="171">
        <v>0</v>
      </c>
      <c r="K69" s="171">
        <v>0</v>
      </c>
      <c r="L69" s="171">
        <v>0</v>
      </c>
      <c r="M69" s="171">
        <v>0</v>
      </c>
      <c r="N69" s="171">
        <v>0</v>
      </c>
      <c r="O69" s="171">
        <v>0</v>
      </c>
      <c r="P69" s="171">
        <v>0</v>
      </c>
      <c r="Q69" s="171">
        <v>0</v>
      </c>
      <c r="R69" s="171">
        <v>0</v>
      </c>
      <c r="S69" s="171">
        <v>0</v>
      </c>
      <c r="T69" s="171">
        <v>0</v>
      </c>
      <c r="U69" s="171">
        <v>0</v>
      </c>
      <c r="V69" s="171">
        <v>0</v>
      </c>
      <c r="W69" s="171">
        <v>0</v>
      </c>
      <c r="X69" s="171">
        <v>0</v>
      </c>
      <c r="Y69" s="171">
        <v>0</v>
      </c>
      <c r="Z69" s="171">
        <v>0</v>
      </c>
      <c r="AA69" s="171">
        <v>0</v>
      </c>
      <c r="AB69" s="171">
        <v>0</v>
      </c>
      <c r="AC69" s="171">
        <f t="shared" si="51"/>
        <v>0</v>
      </c>
      <c r="AD69" s="328">
        <f t="shared" si="52"/>
        <v>0</v>
      </c>
      <c r="AE69" s="328">
        <f t="shared" si="41"/>
        <v>0</v>
      </c>
      <c r="AF69" s="328">
        <f t="shared" si="53"/>
        <v>0</v>
      </c>
      <c r="AG69" s="328">
        <f t="shared" si="54"/>
        <v>0</v>
      </c>
      <c r="AH69" s="328">
        <v>0</v>
      </c>
      <c r="AI69" s="328">
        <v>0</v>
      </c>
      <c r="AJ69" s="328">
        <v>0</v>
      </c>
      <c r="AK69" s="328">
        <v>0</v>
      </c>
      <c r="AL69" s="328">
        <v>0</v>
      </c>
      <c r="AM69" s="328">
        <v>0</v>
      </c>
      <c r="AN69" s="328">
        <v>0</v>
      </c>
      <c r="AO69" s="328">
        <v>0</v>
      </c>
      <c r="AP69" s="328">
        <v>0</v>
      </c>
      <c r="AQ69" s="171">
        <v>0</v>
      </c>
      <c r="AR69" s="328">
        <v>0</v>
      </c>
      <c r="AS69" s="171">
        <v>0</v>
      </c>
      <c r="AT69" s="328">
        <v>0</v>
      </c>
      <c r="AU69" s="171">
        <v>0</v>
      </c>
      <c r="AV69" s="171">
        <v>0</v>
      </c>
      <c r="AW69" s="328">
        <v>0</v>
      </c>
      <c r="AX69" s="171">
        <v>0</v>
      </c>
      <c r="AY69" s="328">
        <v>0</v>
      </c>
      <c r="AZ69" s="171">
        <v>0</v>
      </c>
      <c r="BA69" s="171">
        <v>0</v>
      </c>
      <c r="BB69" s="231"/>
    </row>
    <row r="70" spans="1:54" ht="31.5">
      <c r="A70" s="45"/>
      <c r="B70" s="236" t="s">
        <v>121</v>
      </c>
      <c r="C70" s="268"/>
      <c r="D70" s="171">
        <f t="shared" si="46"/>
        <v>0</v>
      </c>
      <c r="E70" s="171">
        <f t="shared" si="47"/>
        <v>0</v>
      </c>
      <c r="F70" s="171">
        <f t="shared" si="48"/>
        <v>0</v>
      </c>
      <c r="G70" s="171">
        <f t="shared" si="49"/>
        <v>0</v>
      </c>
      <c r="H70" s="171">
        <f t="shared" si="50"/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0</v>
      </c>
      <c r="N70" s="171">
        <v>0</v>
      </c>
      <c r="O70" s="171">
        <v>0</v>
      </c>
      <c r="P70" s="171">
        <v>0</v>
      </c>
      <c r="Q70" s="171">
        <v>0</v>
      </c>
      <c r="R70" s="171">
        <v>0</v>
      </c>
      <c r="S70" s="171">
        <v>0</v>
      </c>
      <c r="T70" s="171">
        <v>0</v>
      </c>
      <c r="U70" s="171">
        <v>0</v>
      </c>
      <c r="V70" s="171">
        <v>0</v>
      </c>
      <c r="W70" s="171">
        <v>0</v>
      </c>
      <c r="X70" s="171">
        <v>0</v>
      </c>
      <c r="Y70" s="171">
        <v>0</v>
      </c>
      <c r="Z70" s="171">
        <v>0</v>
      </c>
      <c r="AA70" s="171">
        <v>0</v>
      </c>
      <c r="AB70" s="171">
        <v>0</v>
      </c>
      <c r="AC70" s="171">
        <f t="shared" si="51"/>
        <v>0</v>
      </c>
      <c r="AD70" s="328">
        <f t="shared" si="52"/>
        <v>0</v>
      </c>
      <c r="AE70" s="328">
        <f t="shared" si="41"/>
        <v>0</v>
      </c>
      <c r="AF70" s="328">
        <f t="shared" si="53"/>
        <v>0</v>
      </c>
      <c r="AG70" s="328">
        <f t="shared" si="54"/>
        <v>0</v>
      </c>
      <c r="AH70" s="328">
        <v>0</v>
      </c>
      <c r="AI70" s="328">
        <v>0</v>
      </c>
      <c r="AJ70" s="328">
        <v>0</v>
      </c>
      <c r="AK70" s="328">
        <v>0</v>
      </c>
      <c r="AL70" s="328">
        <v>0</v>
      </c>
      <c r="AM70" s="328">
        <v>0</v>
      </c>
      <c r="AN70" s="328">
        <v>0</v>
      </c>
      <c r="AO70" s="328">
        <v>0</v>
      </c>
      <c r="AP70" s="328">
        <v>0</v>
      </c>
      <c r="AQ70" s="171">
        <v>0</v>
      </c>
      <c r="AR70" s="328">
        <v>0</v>
      </c>
      <c r="AS70" s="171">
        <v>0</v>
      </c>
      <c r="AT70" s="328">
        <v>0</v>
      </c>
      <c r="AU70" s="171">
        <v>0</v>
      </c>
      <c r="AV70" s="171">
        <v>0</v>
      </c>
      <c r="AW70" s="328">
        <v>0</v>
      </c>
      <c r="AX70" s="171">
        <v>0</v>
      </c>
      <c r="AY70" s="328">
        <v>0</v>
      </c>
      <c r="AZ70" s="171">
        <v>0</v>
      </c>
      <c r="BA70" s="171">
        <v>0</v>
      </c>
      <c r="BB70" s="231"/>
    </row>
    <row r="71" spans="1:54" ht="31.5">
      <c r="A71" s="45"/>
      <c r="B71" s="236" t="s">
        <v>123</v>
      </c>
      <c r="C71" s="268"/>
      <c r="D71" s="171">
        <f t="shared" si="46"/>
        <v>0</v>
      </c>
      <c r="E71" s="171">
        <f t="shared" si="47"/>
        <v>0</v>
      </c>
      <c r="F71" s="171">
        <f t="shared" si="48"/>
        <v>0</v>
      </c>
      <c r="G71" s="171">
        <f t="shared" si="49"/>
        <v>0</v>
      </c>
      <c r="H71" s="171">
        <f t="shared" si="50"/>
        <v>0</v>
      </c>
      <c r="I71" s="171">
        <v>0</v>
      </c>
      <c r="J71" s="171">
        <v>0</v>
      </c>
      <c r="K71" s="171">
        <v>0</v>
      </c>
      <c r="L71" s="171">
        <v>0</v>
      </c>
      <c r="M71" s="171">
        <v>0</v>
      </c>
      <c r="N71" s="171">
        <v>0</v>
      </c>
      <c r="O71" s="171">
        <v>0</v>
      </c>
      <c r="P71" s="171">
        <v>0</v>
      </c>
      <c r="Q71" s="171">
        <v>0</v>
      </c>
      <c r="R71" s="171">
        <v>0</v>
      </c>
      <c r="S71" s="171">
        <v>0</v>
      </c>
      <c r="T71" s="171">
        <v>0</v>
      </c>
      <c r="U71" s="171">
        <v>0</v>
      </c>
      <c r="V71" s="171">
        <v>0</v>
      </c>
      <c r="W71" s="171">
        <v>0</v>
      </c>
      <c r="X71" s="171">
        <v>0</v>
      </c>
      <c r="Y71" s="171">
        <v>0</v>
      </c>
      <c r="Z71" s="171">
        <v>0</v>
      </c>
      <c r="AA71" s="171">
        <v>0</v>
      </c>
      <c r="AB71" s="171">
        <v>0</v>
      </c>
      <c r="AC71" s="171">
        <f t="shared" si="51"/>
        <v>0</v>
      </c>
      <c r="AD71" s="328">
        <f t="shared" si="52"/>
        <v>0</v>
      </c>
      <c r="AE71" s="328">
        <f t="shared" si="41"/>
        <v>0</v>
      </c>
      <c r="AF71" s="328">
        <f t="shared" si="53"/>
        <v>0</v>
      </c>
      <c r="AG71" s="328">
        <f t="shared" si="54"/>
        <v>0</v>
      </c>
      <c r="AH71" s="328">
        <v>0</v>
      </c>
      <c r="AI71" s="328">
        <v>0</v>
      </c>
      <c r="AJ71" s="328">
        <v>0</v>
      </c>
      <c r="AK71" s="328">
        <v>0</v>
      </c>
      <c r="AL71" s="328">
        <v>0</v>
      </c>
      <c r="AM71" s="328">
        <v>0</v>
      </c>
      <c r="AN71" s="328">
        <v>0</v>
      </c>
      <c r="AO71" s="328">
        <v>0</v>
      </c>
      <c r="AP71" s="328">
        <v>0</v>
      </c>
      <c r="AQ71" s="171">
        <v>0</v>
      </c>
      <c r="AR71" s="328">
        <v>0</v>
      </c>
      <c r="AS71" s="171">
        <v>0</v>
      </c>
      <c r="AT71" s="328">
        <v>0</v>
      </c>
      <c r="AU71" s="171">
        <v>0</v>
      </c>
      <c r="AV71" s="171">
        <v>0</v>
      </c>
      <c r="AW71" s="328">
        <v>0</v>
      </c>
      <c r="AX71" s="171">
        <v>0</v>
      </c>
      <c r="AY71" s="328">
        <v>0</v>
      </c>
      <c r="AZ71" s="171">
        <v>0</v>
      </c>
      <c r="BA71" s="171">
        <v>0</v>
      </c>
      <c r="BB71" s="231"/>
    </row>
    <row r="72" spans="1:54" ht="18.75" hidden="1">
      <c r="A72" s="45"/>
      <c r="B72" s="228"/>
      <c r="C72" s="268"/>
      <c r="D72" s="171">
        <f t="shared" si="46"/>
        <v>0</v>
      </c>
      <c r="E72" s="171">
        <f t="shared" si="47"/>
        <v>0</v>
      </c>
      <c r="F72" s="171">
        <f t="shared" si="48"/>
        <v>0</v>
      </c>
      <c r="G72" s="171">
        <f t="shared" si="49"/>
        <v>0</v>
      </c>
      <c r="H72" s="171">
        <f t="shared" si="50"/>
        <v>0</v>
      </c>
      <c r="I72" s="171">
        <v>0</v>
      </c>
      <c r="J72" s="171">
        <v>0</v>
      </c>
      <c r="K72" s="171">
        <v>0</v>
      </c>
      <c r="L72" s="171">
        <v>0</v>
      </c>
      <c r="M72" s="171">
        <v>0</v>
      </c>
      <c r="N72" s="171">
        <v>0</v>
      </c>
      <c r="O72" s="171">
        <v>0</v>
      </c>
      <c r="P72" s="171">
        <v>0</v>
      </c>
      <c r="Q72" s="171">
        <v>0</v>
      </c>
      <c r="R72" s="171">
        <v>0</v>
      </c>
      <c r="S72" s="171">
        <v>0</v>
      </c>
      <c r="T72" s="171">
        <v>0</v>
      </c>
      <c r="U72" s="171">
        <v>0</v>
      </c>
      <c r="V72" s="171">
        <v>0</v>
      </c>
      <c r="W72" s="171">
        <v>0</v>
      </c>
      <c r="X72" s="171">
        <v>0</v>
      </c>
      <c r="Y72" s="171">
        <v>0</v>
      </c>
      <c r="Z72" s="171">
        <v>0</v>
      </c>
      <c r="AA72" s="171">
        <v>0</v>
      </c>
      <c r="AB72" s="171">
        <v>0</v>
      </c>
      <c r="AC72" s="171">
        <f t="shared" si="51"/>
        <v>0</v>
      </c>
      <c r="AD72" s="328">
        <f t="shared" si="52"/>
        <v>0</v>
      </c>
      <c r="AE72" s="328">
        <f t="shared" si="41"/>
        <v>0</v>
      </c>
      <c r="AF72" s="328">
        <f t="shared" si="53"/>
        <v>0</v>
      </c>
      <c r="AG72" s="328">
        <f t="shared" si="54"/>
        <v>0</v>
      </c>
      <c r="AH72" s="328">
        <v>0</v>
      </c>
      <c r="AI72" s="328">
        <v>0</v>
      </c>
      <c r="AJ72" s="328">
        <v>0</v>
      </c>
      <c r="AK72" s="328">
        <v>0</v>
      </c>
      <c r="AL72" s="328">
        <v>0</v>
      </c>
      <c r="AM72" s="328">
        <v>0</v>
      </c>
      <c r="AN72" s="328">
        <v>0</v>
      </c>
      <c r="AO72" s="328">
        <v>0</v>
      </c>
      <c r="AP72" s="328">
        <v>0</v>
      </c>
      <c r="AQ72" s="171">
        <v>0</v>
      </c>
      <c r="AR72" s="328">
        <v>0</v>
      </c>
      <c r="AS72" s="171">
        <v>0</v>
      </c>
      <c r="AT72" s="328">
        <v>0</v>
      </c>
      <c r="AU72" s="171">
        <v>0</v>
      </c>
      <c r="AV72" s="171">
        <v>0</v>
      </c>
      <c r="AW72" s="328">
        <v>0</v>
      </c>
      <c r="AX72" s="171">
        <v>0</v>
      </c>
      <c r="AY72" s="328">
        <v>0</v>
      </c>
      <c r="AZ72" s="171">
        <v>0</v>
      </c>
      <c r="BA72" s="171">
        <v>0</v>
      </c>
      <c r="BB72" s="231"/>
    </row>
    <row r="73" spans="1:54" ht="18.75">
      <c r="A73" s="65" t="s">
        <v>124</v>
      </c>
      <c r="B73" s="230" t="s">
        <v>125</v>
      </c>
      <c r="C73" s="268"/>
      <c r="D73" s="171">
        <f aca="true" t="shared" si="55" ref="D73:AI73">SUM(D74:D83)</f>
        <v>0</v>
      </c>
      <c r="E73" s="171">
        <f t="shared" si="55"/>
        <v>0</v>
      </c>
      <c r="F73" s="171">
        <f t="shared" si="55"/>
        <v>0</v>
      </c>
      <c r="G73" s="171">
        <f t="shared" si="55"/>
        <v>0</v>
      </c>
      <c r="H73" s="171">
        <f t="shared" si="55"/>
        <v>0</v>
      </c>
      <c r="I73" s="171">
        <f t="shared" si="55"/>
        <v>0</v>
      </c>
      <c r="J73" s="171">
        <f t="shared" si="55"/>
        <v>0</v>
      </c>
      <c r="K73" s="171">
        <f t="shared" si="55"/>
        <v>0</v>
      </c>
      <c r="L73" s="171">
        <f t="shared" si="55"/>
        <v>0</v>
      </c>
      <c r="M73" s="171">
        <f t="shared" si="55"/>
        <v>0</v>
      </c>
      <c r="N73" s="171">
        <f t="shared" si="55"/>
        <v>0</v>
      </c>
      <c r="O73" s="171">
        <f t="shared" si="55"/>
        <v>0</v>
      </c>
      <c r="P73" s="171">
        <f t="shared" si="55"/>
        <v>0</v>
      </c>
      <c r="Q73" s="171">
        <f t="shared" si="55"/>
        <v>0</v>
      </c>
      <c r="R73" s="171">
        <f t="shared" si="55"/>
        <v>0</v>
      </c>
      <c r="S73" s="171">
        <f t="shared" si="55"/>
        <v>0</v>
      </c>
      <c r="T73" s="171">
        <f t="shared" si="55"/>
        <v>0</v>
      </c>
      <c r="U73" s="171">
        <f t="shared" si="55"/>
        <v>0</v>
      </c>
      <c r="V73" s="171">
        <f t="shared" si="55"/>
        <v>0</v>
      </c>
      <c r="W73" s="171">
        <f t="shared" si="55"/>
        <v>0</v>
      </c>
      <c r="X73" s="171">
        <f t="shared" si="55"/>
        <v>0</v>
      </c>
      <c r="Y73" s="171">
        <f t="shared" si="55"/>
        <v>0</v>
      </c>
      <c r="Z73" s="171">
        <f t="shared" si="55"/>
        <v>0</v>
      </c>
      <c r="AA73" s="171">
        <f t="shared" si="55"/>
        <v>0</v>
      </c>
      <c r="AB73" s="171">
        <f t="shared" si="55"/>
        <v>0</v>
      </c>
      <c r="AC73" s="171">
        <f t="shared" si="55"/>
        <v>6.72</v>
      </c>
      <c r="AD73" s="328">
        <f t="shared" si="55"/>
        <v>0</v>
      </c>
      <c r="AE73" s="328">
        <f t="shared" si="55"/>
        <v>10.62</v>
      </c>
      <c r="AF73" s="328">
        <f t="shared" si="55"/>
        <v>0</v>
      </c>
      <c r="AG73" s="328">
        <f t="shared" si="55"/>
        <v>0</v>
      </c>
      <c r="AH73" s="328">
        <f t="shared" si="55"/>
        <v>0</v>
      </c>
      <c r="AI73" s="328">
        <f t="shared" si="55"/>
        <v>0</v>
      </c>
      <c r="AJ73" s="328">
        <f aca="true" t="shared" si="56" ref="AJ73:BA73">SUM(AJ74:AJ83)</f>
        <v>0</v>
      </c>
      <c r="AK73" s="328">
        <f t="shared" si="56"/>
        <v>0</v>
      </c>
      <c r="AL73" s="328">
        <f t="shared" si="56"/>
        <v>0</v>
      </c>
      <c r="AM73" s="328">
        <f t="shared" si="56"/>
        <v>0.85</v>
      </c>
      <c r="AN73" s="328">
        <f t="shared" si="56"/>
        <v>0</v>
      </c>
      <c r="AO73" s="328">
        <f t="shared" si="56"/>
        <v>0</v>
      </c>
      <c r="AP73" s="328">
        <f t="shared" si="56"/>
        <v>0</v>
      </c>
      <c r="AQ73" s="171">
        <f t="shared" si="56"/>
        <v>0</v>
      </c>
      <c r="AR73" s="328">
        <f t="shared" si="56"/>
        <v>4.84</v>
      </c>
      <c r="AS73" s="171">
        <f t="shared" si="56"/>
        <v>0</v>
      </c>
      <c r="AT73" s="328">
        <f t="shared" si="56"/>
        <v>10.62</v>
      </c>
      <c r="AU73" s="171">
        <f t="shared" si="56"/>
        <v>0</v>
      </c>
      <c r="AV73" s="171">
        <f t="shared" si="56"/>
        <v>0</v>
      </c>
      <c r="AW73" s="328">
        <f t="shared" si="56"/>
        <v>1.03</v>
      </c>
      <c r="AX73" s="171">
        <f t="shared" si="56"/>
        <v>0</v>
      </c>
      <c r="AY73" s="328">
        <f t="shared" si="56"/>
        <v>0</v>
      </c>
      <c r="AZ73" s="171">
        <f t="shared" si="56"/>
        <v>0</v>
      </c>
      <c r="BA73" s="171">
        <f t="shared" si="56"/>
        <v>0</v>
      </c>
      <c r="BB73" s="231"/>
    </row>
    <row r="74" spans="1:54" ht="18.75">
      <c r="A74" s="65" t="s">
        <v>124</v>
      </c>
      <c r="B74" s="228" t="s">
        <v>127</v>
      </c>
      <c r="C74" s="268"/>
      <c r="D74" s="171">
        <f aca="true" t="shared" si="57" ref="D74:D83">I74+N74+S74+X74</f>
        <v>0</v>
      </c>
      <c r="E74" s="171">
        <f aca="true" t="shared" si="58" ref="E74:E83">J74+O74+T74+Y74</f>
        <v>0</v>
      </c>
      <c r="F74" s="171">
        <f aca="true" t="shared" si="59" ref="F74:F83">K74+P74+U74+Z74</f>
        <v>0</v>
      </c>
      <c r="G74" s="171">
        <f aca="true" t="shared" si="60" ref="G74:G83">L74+Q74+V74+AA74</f>
        <v>0</v>
      </c>
      <c r="H74" s="171">
        <f aca="true" t="shared" si="61" ref="H74:H83">M74+R74+W74+AB74</f>
        <v>0</v>
      </c>
      <c r="I74" s="171">
        <v>0</v>
      </c>
      <c r="J74" s="171">
        <v>0</v>
      </c>
      <c r="K74" s="171">
        <v>0</v>
      </c>
      <c r="L74" s="171">
        <v>0</v>
      </c>
      <c r="M74" s="171">
        <v>0</v>
      </c>
      <c r="N74" s="171">
        <v>0</v>
      </c>
      <c r="O74" s="171">
        <v>0</v>
      </c>
      <c r="P74" s="171">
        <v>0</v>
      </c>
      <c r="Q74" s="171">
        <v>0</v>
      </c>
      <c r="R74" s="171">
        <v>0</v>
      </c>
      <c r="S74" s="171">
        <v>0</v>
      </c>
      <c r="T74" s="171">
        <v>0</v>
      </c>
      <c r="U74" s="171">
        <v>0</v>
      </c>
      <c r="V74" s="171">
        <v>0</v>
      </c>
      <c r="W74" s="171">
        <v>0</v>
      </c>
      <c r="X74" s="171">
        <v>0</v>
      </c>
      <c r="Y74" s="171">
        <v>0</v>
      </c>
      <c r="Z74" s="171">
        <v>0</v>
      </c>
      <c r="AA74" s="171">
        <v>0</v>
      </c>
      <c r="AB74" s="171">
        <v>0</v>
      </c>
      <c r="AC74" s="171">
        <f aca="true" t="shared" si="62" ref="AC74:AC83">AH74+AM74+AR74+AW74</f>
        <v>6.72</v>
      </c>
      <c r="AD74" s="328">
        <f aca="true" t="shared" si="63" ref="AD74:AD83">AI74+AN74+AS74+AX74</f>
        <v>0</v>
      </c>
      <c r="AE74" s="328">
        <f aca="true" t="shared" si="64" ref="AE74:AE83">AJ74+AO74+AT74+AY74</f>
        <v>0</v>
      </c>
      <c r="AF74" s="328">
        <f aca="true" t="shared" si="65" ref="AF74:AF83">AK74+AP74+AU74+AZ74</f>
        <v>0</v>
      </c>
      <c r="AG74" s="328">
        <f aca="true" t="shared" si="66" ref="AG74:AG83">AL74+AQ74+AV74+BA74</f>
        <v>0</v>
      </c>
      <c r="AH74" s="328">
        <v>0</v>
      </c>
      <c r="AI74" s="328">
        <v>0</v>
      </c>
      <c r="AJ74" s="328">
        <v>0</v>
      </c>
      <c r="AK74" s="328">
        <v>0</v>
      </c>
      <c r="AL74" s="328">
        <v>0</v>
      </c>
      <c r="AM74" s="328">
        <v>0.85</v>
      </c>
      <c r="AN74" s="328">
        <v>0</v>
      </c>
      <c r="AO74" s="328">
        <v>0</v>
      </c>
      <c r="AP74" s="328">
        <v>0</v>
      </c>
      <c r="AQ74" s="171">
        <v>0</v>
      </c>
      <c r="AR74" s="328">
        <v>4.84</v>
      </c>
      <c r="AS74" s="171">
        <v>0</v>
      </c>
      <c r="AT74" s="328">
        <v>0</v>
      </c>
      <c r="AU74" s="171">
        <v>0</v>
      </c>
      <c r="AV74" s="171">
        <v>0</v>
      </c>
      <c r="AW74" s="328">
        <v>1.03</v>
      </c>
      <c r="AX74" s="171">
        <v>0</v>
      </c>
      <c r="AY74" s="328">
        <v>0</v>
      </c>
      <c r="AZ74" s="171">
        <v>0</v>
      </c>
      <c r="BA74" s="171">
        <v>0</v>
      </c>
      <c r="BB74" s="231"/>
    </row>
    <row r="75" spans="1:54" ht="18.75">
      <c r="A75" s="65" t="s">
        <v>124</v>
      </c>
      <c r="B75" s="228" t="s">
        <v>130</v>
      </c>
      <c r="C75" s="268"/>
      <c r="D75" s="171">
        <f t="shared" si="57"/>
        <v>0</v>
      </c>
      <c r="E75" s="171">
        <f t="shared" si="58"/>
        <v>0</v>
      </c>
      <c r="F75" s="171">
        <f t="shared" si="59"/>
        <v>0</v>
      </c>
      <c r="G75" s="171">
        <f t="shared" si="60"/>
        <v>0</v>
      </c>
      <c r="H75" s="171">
        <f t="shared" si="61"/>
        <v>0</v>
      </c>
      <c r="I75" s="171">
        <v>0</v>
      </c>
      <c r="J75" s="171">
        <v>0</v>
      </c>
      <c r="K75" s="171">
        <v>0</v>
      </c>
      <c r="L75" s="171">
        <v>0</v>
      </c>
      <c r="M75" s="171">
        <v>0</v>
      </c>
      <c r="N75" s="171">
        <v>0</v>
      </c>
      <c r="O75" s="171">
        <v>0</v>
      </c>
      <c r="P75" s="171">
        <v>0</v>
      </c>
      <c r="Q75" s="171">
        <v>0</v>
      </c>
      <c r="R75" s="171">
        <v>0</v>
      </c>
      <c r="S75" s="171">
        <v>0</v>
      </c>
      <c r="T75" s="171">
        <v>0</v>
      </c>
      <c r="U75" s="171">
        <v>0</v>
      </c>
      <c r="V75" s="171">
        <v>0</v>
      </c>
      <c r="W75" s="171">
        <v>0</v>
      </c>
      <c r="X75" s="171">
        <v>0</v>
      </c>
      <c r="Y75" s="171">
        <v>0</v>
      </c>
      <c r="Z75" s="171">
        <v>0</v>
      </c>
      <c r="AA75" s="171">
        <v>0</v>
      </c>
      <c r="AB75" s="171">
        <v>0</v>
      </c>
      <c r="AC75" s="171">
        <f t="shared" si="62"/>
        <v>0</v>
      </c>
      <c r="AD75" s="328">
        <f t="shared" si="63"/>
        <v>0</v>
      </c>
      <c r="AE75" s="328">
        <f t="shared" si="64"/>
        <v>0</v>
      </c>
      <c r="AF75" s="328">
        <f t="shared" si="65"/>
        <v>0</v>
      </c>
      <c r="AG75" s="328">
        <f t="shared" si="66"/>
        <v>0</v>
      </c>
      <c r="AH75" s="328">
        <v>0</v>
      </c>
      <c r="AI75" s="328">
        <v>0</v>
      </c>
      <c r="AJ75" s="328">
        <v>0</v>
      </c>
      <c r="AK75" s="328">
        <v>0</v>
      </c>
      <c r="AL75" s="328">
        <v>0</v>
      </c>
      <c r="AM75" s="328">
        <v>0</v>
      </c>
      <c r="AN75" s="328">
        <v>0</v>
      </c>
      <c r="AO75" s="328">
        <v>0</v>
      </c>
      <c r="AP75" s="328">
        <v>0</v>
      </c>
      <c r="AQ75" s="171">
        <v>0</v>
      </c>
      <c r="AR75" s="328">
        <v>0</v>
      </c>
      <c r="AS75" s="171">
        <v>0</v>
      </c>
      <c r="AT75" s="328">
        <v>0</v>
      </c>
      <c r="AU75" s="171">
        <v>0</v>
      </c>
      <c r="AV75" s="171">
        <v>0</v>
      </c>
      <c r="AW75" s="328">
        <v>0</v>
      </c>
      <c r="AX75" s="171">
        <v>0</v>
      </c>
      <c r="AY75" s="328">
        <v>0</v>
      </c>
      <c r="AZ75" s="171">
        <v>0</v>
      </c>
      <c r="BA75" s="171">
        <v>0</v>
      </c>
      <c r="BB75" s="231"/>
    </row>
    <row r="76" spans="1:54" ht="18.75">
      <c r="A76" s="65" t="s">
        <v>124</v>
      </c>
      <c r="B76" s="228" t="s">
        <v>132</v>
      </c>
      <c r="C76" s="268"/>
      <c r="D76" s="171">
        <f t="shared" si="57"/>
        <v>0</v>
      </c>
      <c r="E76" s="171">
        <f t="shared" si="58"/>
        <v>0</v>
      </c>
      <c r="F76" s="171">
        <f t="shared" si="59"/>
        <v>0</v>
      </c>
      <c r="G76" s="171">
        <f t="shared" si="60"/>
        <v>0</v>
      </c>
      <c r="H76" s="171">
        <f t="shared" si="61"/>
        <v>0</v>
      </c>
      <c r="I76" s="171">
        <v>0</v>
      </c>
      <c r="J76" s="171">
        <v>0</v>
      </c>
      <c r="K76" s="171">
        <v>0</v>
      </c>
      <c r="L76" s="171">
        <v>0</v>
      </c>
      <c r="M76" s="171">
        <v>0</v>
      </c>
      <c r="N76" s="171">
        <v>0</v>
      </c>
      <c r="O76" s="171">
        <v>0</v>
      </c>
      <c r="P76" s="171">
        <v>0</v>
      </c>
      <c r="Q76" s="171">
        <v>0</v>
      </c>
      <c r="R76" s="171">
        <v>0</v>
      </c>
      <c r="S76" s="171">
        <v>0</v>
      </c>
      <c r="T76" s="171">
        <v>0</v>
      </c>
      <c r="U76" s="171">
        <v>0</v>
      </c>
      <c r="V76" s="171">
        <v>0</v>
      </c>
      <c r="W76" s="171">
        <v>0</v>
      </c>
      <c r="X76" s="171">
        <v>0</v>
      </c>
      <c r="Y76" s="171">
        <v>0</v>
      </c>
      <c r="Z76" s="171">
        <v>0</v>
      </c>
      <c r="AA76" s="171">
        <v>0</v>
      </c>
      <c r="AB76" s="171">
        <v>0</v>
      </c>
      <c r="AC76" s="171">
        <f t="shared" si="62"/>
        <v>0</v>
      </c>
      <c r="AD76" s="328">
        <f t="shared" si="63"/>
        <v>0</v>
      </c>
      <c r="AE76" s="328">
        <f t="shared" si="64"/>
        <v>10.62</v>
      </c>
      <c r="AF76" s="328">
        <f t="shared" si="65"/>
        <v>0</v>
      </c>
      <c r="AG76" s="328">
        <f t="shared" si="66"/>
        <v>0</v>
      </c>
      <c r="AH76" s="328">
        <v>0</v>
      </c>
      <c r="AI76" s="328">
        <v>0</v>
      </c>
      <c r="AJ76" s="328">
        <v>0</v>
      </c>
      <c r="AK76" s="328">
        <v>0</v>
      </c>
      <c r="AL76" s="328">
        <v>0</v>
      </c>
      <c r="AM76" s="328">
        <v>0</v>
      </c>
      <c r="AN76" s="328">
        <v>0</v>
      </c>
      <c r="AO76" s="328">
        <v>0</v>
      </c>
      <c r="AP76" s="328">
        <v>0</v>
      </c>
      <c r="AQ76" s="171">
        <v>0</v>
      </c>
      <c r="AR76" s="328">
        <v>0</v>
      </c>
      <c r="AS76" s="171">
        <v>0</v>
      </c>
      <c r="AT76" s="328">
        <v>10.62</v>
      </c>
      <c r="AU76" s="171">
        <v>0</v>
      </c>
      <c r="AV76" s="171">
        <v>0</v>
      </c>
      <c r="AW76" s="328">
        <v>0</v>
      </c>
      <c r="AX76" s="171">
        <v>0</v>
      </c>
      <c r="AY76" s="328">
        <v>0</v>
      </c>
      <c r="AZ76" s="171">
        <v>0</v>
      </c>
      <c r="BA76" s="171">
        <v>0</v>
      </c>
      <c r="BB76" s="231"/>
    </row>
    <row r="77" spans="1:54" ht="18.75" hidden="1">
      <c r="A77" s="65" t="s">
        <v>124</v>
      </c>
      <c r="B77" s="228" t="s">
        <v>135</v>
      </c>
      <c r="C77" s="268"/>
      <c r="D77" s="171">
        <f t="shared" si="57"/>
        <v>0</v>
      </c>
      <c r="E77" s="171">
        <f t="shared" si="58"/>
        <v>0</v>
      </c>
      <c r="F77" s="171">
        <f t="shared" si="59"/>
        <v>0</v>
      </c>
      <c r="G77" s="171">
        <f t="shared" si="60"/>
        <v>0</v>
      </c>
      <c r="H77" s="171">
        <f t="shared" si="61"/>
        <v>0</v>
      </c>
      <c r="I77" s="171">
        <v>0</v>
      </c>
      <c r="J77" s="171">
        <v>0</v>
      </c>
      <c r="K77" s="171">
        <v>0</v>
      </c>
      <c r="L77" s="171">
        <v>0</v>
      </c>
      <c r="M77" s="171">
        <v>0</v>
      </c>
      <c r="N77" s="171">
        <v>0</v>
      </c>
      <c r="O77" s="171">
        <v>0</v>
      </c>
      <c r="P77" s="171">
        <v>0</v>
      </c>
      <c r="Q77" s="171">
        <v>0</v>
      </c>
      <c r="R77" s="171">
        <v>0</v>
      </c>
      <c r="S77" s="171">
        <v>0</v>
      </c>
      <c r="T77" s="171">
        <v>0</v>
      </c>
      <c r="U77" s="171">
        <v>0</v>
      </c>
      <c r="V77" s="171">
        <v>0</v>
      </c>
      <c r="W77" s="171">
        <v>0</v>
      </c>
      <c r="X77" s="171">
        <v>0</v>
      </c>
      <c r="Y77" s="171">
        <v>0</v>
      </c>
      <c r="Z77" s="171">
        <v>0</v>
      </c>
      <c r="AA77" s="171">
        <v>0</v>
      </c>
      <c r="AB77" s="171">
        <v>0</v>
      </c>
      <c r="AC77" s="171">
        <f t="shared" si="62"/>
        <v>0</v>
      </c>
      <c r="AD77" s="328">
        <f t="shared" si="63"/>
        <v>0</v>
      </c>
      <c r="AE77" s="328">
        <f t="shared" si="64"/>
        <v>0</v>
      </c>
      <c r="AF77" s="328">
        <f t="shared" si="65"/>
        <v>0</v>
      </c>
      <c r="AG77" s="328">
        <f t="shared" si="66"/>
        <v>0</v>
      </c>
      <c r="AH77" s="328">
        <v>0</v>
      </c>
      <c r="AI77" s="328">
        <v>0</v>
      </c>
      <c r="AJ77" s="328">
        <v>0</v>
      </c>
      <c r="AK77" s="328">
        <v>0</v>
      </c>
      <c r="AL77" s="328">
        <v>0</v>
      </c>
      <c r="AM77" s="328">
        <v>0</v>
      </c>
      <c r="AN77" s="328">
        <v>0</v>
      </c>
      <c r="AO77" s="328">
        <v>0</v>
      </c>
      <c r="AP77" s="328">
        <v>0</v>
      </c>
      <c r="AQ77" s="171">
        <v>0</v>
      </c>
      <c r="AR77" s="328">
        <v>0</v>
      </c>
      <c r="AS77" s="171">
        <v>0</v>
      </c>
      <c r="AT77" s="328">
        <v>0</v>
      </c>
      <c r="AU77" s="171">
        <v>0</v>
      </c>
      <c r="AV77" s="171">
        <v>0</v>
      </c>
      <c r="AW77" s="328">
        <v>0</v>
      </c>
      <c r="AX77" s="171">
        <v>0</v>
      </c>
      <c r="AY77" s="328">
        <v>0</v>
      </c>
      <c r="AZ77" s="171">
        <v>0</v>
      </c>
      <c r="BA77" s="171">
        <v>0</v>
      </c>
      <c r="BB77" s="231"/>
    </row>
    <row r="78" spans="1:54" ht="31.5" hidden="1">
      <c r="A78" s="65" t="s">
        <v>124</v>
      </c>
      <c r="B78" s="233" t="s">
        <v>137</v>
      </c>
      <c r="C78" s="268"/>
      <c r="D78" s="171">
        <f t="shared" si="57"/>
        <v>0</v>
      </c>
      <c r="E78" s="171">
        <f t="shared" si="58"/>
        <v>0</v>
      </c>
      <c r="F78" s="171">
        <f t="shared" si="59"/>
        <v>0</v>
      </c>
      <c r="G78" s="171">
        <f t="shared" si="60"/>
        <v>0</v>
      </c>
      <c r="H78" s="171">
        <f t="shared" si="61"/>
        <v>0</v>
      </c>
      <c r="I78" s="171">
        <v>0</v>
      </c>
      <c r="J78" s="171">
        <v>0</v>
      </c>
      <c r="K78" s="171">
        <v>0</v>
      </c>
      <c r="L78" s="171">
        <v>0</v>
      </c>
      <c r="M78" s="171">
        <v>0</v>
      </c>
      <c r="N78" s="171">
        <v>0</v>
      </c>
      <c r="O78" s="171">
        <v>0</v>
      </c>
      <c r="P78" s="171">
        <v>0</v>
      </c>
      <c r="Q78" s="171">
        <v>0</v>
      </c>
      <c r="R78" s="171">
        <v>0</v>
      </c>
      <c r="S78" s="171">
        <v>0</v>
      </c>
      <c r="T78" s="171">
        <v>0</v>
      </c>
      <c r="U78" s="171">
        <v>0</v>
      </c>
      <c r="V78" s="171">
        <v>0</v>
      </c>
      <c r="W78" s="171">
        <v>0</v>
      </c>
      <c r="X78" s="171">
        <v>0</v>
      </c>
      <c r="Y78" s="171">
        <v>0</v>
      </c>
      <c r="Z78" s="171">
        <v>0</v>
      </c>
      <c r="AA78" s="171">
        <v>0</v>
      </c>
      <c r="AB78" s="171">
        <v>0</v>
      </c>
      <c r="AC78" s="171">
        <f t="shared" si="62"/>
        <v>0</v>
      </c>
      <c r="AD78" s="328">
        <f t="shared" si="63"/>
        <v>0</v>
      </c>
      <c r="AE78" s="328">
        <f t="shared" si="64"/>
        <v>0</v>
      </c>
      <c r="AF78" s="328">
        <f t="shared" si="65"/>
        <v>0</v>
      </c>
      <c r="AG78" s="328">
        <f t="shared" si="66"/>
        <v>0</v>
      </c>
      <c r="AH78" s="328">
        <v>0</v>
      </c>
      <c r="AI78" s="328">
        <v>0</v>
      </c>
      <c r="AJ78" s="328">
        <v>0</v>
      </c>
      <c r="AK78" s="328">
        <v>0</v>
      </c>
      <c r="AL78" s="328">
        <v>0</v>
      </c>
      <c r="AM78" s="328">
        <v>0</v>
      </c>
      <c r="AN78" s="328">
        <v>0</v>
      </c>
      <c r="AO78" s="328">
        <v>0</v>
      </c>
      <c r="AP78" s="328">
        <v>0</v>
      </c>
      <c r="AQ78" s="171">
        <v>0</v>
      </c>
      <c r="AR78" s="328">
        <v>0</v>
      </c>
      <c r="AS78" s="171">
        <v>0</v>
      </c>
      <c r="AT78" s="328">
        <v>0</v>
      </c>
      <c r="AU78" s="171">
        <v>0</v>
      </c>
      <c r="AV78" s="171">
        <v>0</v>
      </c>
      <c r="AW78" s="328">
        <v>0</v>
      </c>
      <c r="AX78" s="171">
        <v>0</v>
      </c>
      <c r="AY78" s="328">
        <v>0</v>
      </c>
      <c r="AZ78" s="171">
        <v>0</v>
      </c>
      <c r="BA78" s="171">
        <v>0</v>
      </c>
      <c r="BB78" s="231"/>
    </row>
    <row r="79" spans="1:54" ht="18.75">
      <c r="A79" s="218"/>
      <c r="B79" s="228" t="s">
        <v>135</v>
      </c>
      <c r="C79" s="274"/>
      <c r="D79" s="171">
        <f t="shared" si="57"/>
        <v>0</v>
      </c>
      <c r="E79" s="171">
        <f t="shared" si="58"/>
        <v>0</v>
      </c>
      <c r="F79" s="171">
        <f t="shared" si="59"/>
        <v>0</v>
      </c>
      <c r="G79" s="171">
        <f t="shared" si="60"/>
        <v>0</v>
      </c>
      <c r="H79" s="171">
        <f t="shared" si="61"/>
        <v>0</v>
      </c>
      <c r="I79" s="171">
        <v>0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71">
        <v>0</v>
      </c>
      <c r="R79" s="171">
        <v>0</v>
      </c>
      <c r="S79" s="171">
        <v>0</v>
      </c>
      <c r="T79" s="171">
        <v>0</v>
      </c>
      <c r="U79" s="171">
        <v>0</v>
      </c>
      <c r="V79" s="171">
        <v>0</v>
      </c>
      <c r="W79" s="171">
        <v>0</v>
      </c>
      <c r="X79" s="171">
        <v>0</v>
      </c>
      <c r="Y79" s="171">
        <v>0</v>
      </c>
      <c r="Z79" s="171">
        <v>0</v>
      </c>
      <c r="AA79" s="171">
        <v>0</v>
      </c>
      <c r="AB79" s="171">
        <v>0</v>
      </c>
      <c r="AC79" s="171">
        <f t="shared" si="62"/>
        <v>0</v>
      </c>
      <c r="AD79" s="328">
        <f t="shared" si="63"/>
        <v>0</v>
      </c>
      <c r="AE79" s="328">
        <f t="shared" si="64"/>
        <v>0</v>
      </c>
      <c r="AF79" s="328">
        <f t="shared" si="65"/>
        <v>0</v>
      </c>
      <c r="AG79" s="328">
        <f t="shared" si="66"/>
        <v>0</v>
      </c>
      <c r="AH79" s="328">
        <v>0</v>
      </c>
      <c r="AI79" s="328">
        <v>0</v>
      </c>
      <c r="AJ79" s="328">
        <v>0</v>
      </c>
      <c r="AK79" s="328">
        <v>0</v>
      </c>
      <c r="AL79" s="328">
        <v>0</v>
      </c>
      <c r="AM79" s="328">
        <v>0</v>
      </c>
      <c r="AN79" s="328">
        <v>0</v>
      </c>
      <c r="AO79" s="328">
        <v>0</v>
      </c>
      <c r="AP79" s="328">
        <v>0</v>
      </c>
      <c r="AQ79" s="171">
        <v>0</v>
      </c>
      <c r="AR79" s="328">
        <v>0</v>
      </c>
      <c r="AS79" s="171">
        <v>0</v>
      </c>
      <c r="AT79" s="328">
        <v>0</v>
      </c>
      <c r="AU79" s="171">
        <v>0</v>
      </c>
      <c r="AV79" s="171">
        <v>0</v>
      </c>
      <c r="AW79" s="328">
        <v>0</v>
      </c>
      <c r="AX79" s="171">
        <v>0</v>
      </c>
      <c r="AY79" s="328">
        <v>0</v>
      </c>
      <c r="AZ79" s="171">
        <v>0</v>
      </c>
      <c r="BA79" s="171">
        <v>0</v>
      </c>
      <c r="BB79" s="329"/>
    </row>
    <row r="80" spans="1:54" ht="31.5">
      <c r="A80" s="218"/>
      <c r="B80" s="233" t="s">
        <v>137</v>
      </c>
      <c r="C80" s="274"/>
      <c r="D80" s="171">
        <f t="shared" si="57"/>
        <v>0</v>
      </c>
      <c r="E80" s="171">
        <f t="shared" si="58"/>
        <v>0</v>
      </c>
      <c r="F80" s="171">
        <f t="shared" si="59"/>
        <v>0</v>
      </c>
      <c r="G80" s="171">
        <f t="shared" si="60"/>
        <v>0</v>
      </c>
      <c r="H80" s="171">
        <f t="shared" si="61"/>
        <v>0</v>
      </c>
      <c r="I80" s="171">
        <v>0</v>
      </c>
      <c r="J80" s="171">
        <v>0</v>
      </c>
      <c r="K80" s="171">
        <v>0</v>
      </c>
      <c r="L80" s="171">
        <v>0</v>
      </c>
      <c r="M80" s="171">
        <v>0</v>
      </c>
      <c r="N80" s="171">
        <v>0</v>
      </c>
      <c r="O80" s="171">
        <v>0</v>
      </c>
      <c r="P80" s="171">
        <v>0</v>
      </c>
      <c r="Q80" s="171">
        <v>0</v>
      </c>
      <c r="R80" s="171">
        <v>0</v>
      </c>
      <c r="S80" s="171">
        <v>0</v>
      </c>
      <c r="T80" s="171">
        <v>0</v>
      </c>
      <c r="U80" s="171">
        <v>0</v>
      </c>
      <c r="V80" s="171">
        <v>0</v>
      </c>
      <c r="W80" s="171">
        <v>0</v>
      </c>
      <c r="X80" s="171">
        <v>0</v>
      </c>
      <c r="Y80" s="171">
        <v>0</v>
      </c>
      <c r="Z80" s="171">
        <v>0</v>
      </c>
      <c r="AA80" s="171">
        <v>0</v>
      </c>
      <c r="AB80" s="171">
        <v>0</v>
      </c>
      <c r="AC80" s="171">
        <f t="shared" si="62"/>
        <v>0</v>
      </c>
      <c r="AD80" s="328">
        <f t="shared" si="63"/>
        <v>0</v>
      </c>
      <c r="AE80" s="328">
        <f t="shared" si="64"/>
        <v>0</v>
      </c>
      <c r="AF80" s="328">
        <f t="shared" si="65"/>
        <v>0</v>
      </c>
      <c r="AG80" s="328">
        <f t="shared" si="66"/>
        <v>0</v>
      </c>
      <c r="AH80" s="328">
        <v>0</v>
      </c>
      <c r="AI80" s="328">
        <v>0</v>
      </c>
      <c r="AJ80" s="328">
        <v>0</v>
      </c>
      <c r="AK80" s="328">
        <v>0</v>
      </c>
      <c r="AL80" s="328">
        <v>0</v>
      </c>
      <c r="AM80" s="328">
        <v>0</v>
      </c>
      <c r="AN80" s="328">
        <v>0</v>
      </c>
      <c r="AO80" s="328">
        <v>0</v>
      </c>
      <c r="AP80" s="328">
        <v>0</v>
      </c>
      <c r="AQ80" s="171">
        <v>0</v>
      </c>
      <c r="AR80" s="328">
        <v>0</v>
      </c>
      <c r="AS80" s="171">
        <v>0</v>
      </c>
      <c r="AT80" s="328">
        <v>0</v>
      </c>
      <c r="AU80" s="171">
        <v>0</v>
      </c>
      <c r="AV80" s="171">
        <v>0</v>
      </c>
      <c r="AW80" s="328">
        <v>0</v>
      </c>
      <c r="AX80" s="171">
        <v>0</v>
      </c>
      <c r="AY80" s="328">
        <v>0</v>
      </c>
      <c r="AZ80" s="171">
        <v>0</v>
      </c>
      <c r="BA80" s="171">
        <v>0</v>
      </c>
      <c r="BB80" s="329"/>
    </row>
    <row r="81" spans="1:54" ht="18.75">
      <c r="A81" s="218"/>
      <c r="B81" s="330" t="s">
        <v>139</v>
      </c>
      <c r="C81" s="274"/>
      <c r="D81" s="171">
        <f t="shared" si="57"/>
        <v>0</v>
      </c>
      <c r="E81" s="171">
        <f t="shared" si="58"/>
        <v>0</v>
      </c>
      <c r="F81" s="171">
        <f t="shared" si="59"/>
        <v>0</v>
      </c>
      <c r="G81" s="171">
        <f t="shared" si="60"/>
        <v>0</v>
      </c>
      <c r="H81" s="171">
        <f t="shared" si="61"/>
        <v>0</v>
      </c>
      <c r="I81" s="171">
        <v>0</v>
      </c>
      <c r="J81" s="171">
        <v>0</v>
      </c>
      <c r="K81" s="171">
        <v>0</v>
      </c>
      <c r="L81" s="171">
        <v>0</v>
      </c>
      <c r="M81" s="171">
        <v>0</v>
      </c>
      <c r="N81" s="171">
        <v>0</v>
      </c>
      <c r="O81" s="171">
        <v>0</v>
      </c>
      <c r="P81" s="171">
        <v>0</v>
      </c>
      <c r="Q81" s="171">
        <v>0</v>
      </c>
      <c r="R81" s="171">
        <v>0</v>
      </c>
      <c r="S81" s="171">
        <v>0</v>
      </c>
      <c r="T81" s="171">
        <v>0</v>
      </c>
      <c r="U81" s="171">
        <v>0</v>
      </c>
      <c r="V81" s="171">
        <v>0</v>
      </c>
      <c r="W81" s="171">
        <v>0</v>
      </c>
      <c r="X81" s="171">
        <v>0</v>
      </c>
      <c r="Y81" s="171">
        <v>0</v>
      </c>
      <c r="Z81" s="171">
        <v>0</v>
      </c>
      <c r="AA81" s="171">
        <v>0</v>
      </c>
      <c r="AB81" s="171">
        <v>0</v>
      </c>
      <c r="AC81" s="171">
        <f t="shared" si="62"/>
        <v>0</v>
      </c>
      <c r="AD81" s="328">
        <f t="shared" si="63"/>
        <v>0</v>
      </c>
      <c r="AE81" s="328">
        <f t="shared" si="64"/>
        <v>0</v>
      </c>
      <c r="AF81" s="328">
        <f t="shared" si="65"/>
        <v>0</v>
      </c>
      <c r="AG81" s="328">
        <f t="shared" si="66"/>
        <v>0</v>
      </c>
      <c r="AH81" s="328">
        <v>0</v>
      </c>
      <c r="AI81" s="328">
        <v>0</v>
      </c>
      <c r="AJ81" s="328">
        <v>0</v>
      </c>
      <c r="AK81" s="328">
        <v>0</v>
      </c>
      <c r="AL81" s="328">
        <v>0</v>
      </c>
      <c r="AM81" s="328">
        <v>0</v>
      </c>
      <c r="AN81" s="328">
        <v>0</v>
      </c>
      <c r="AO81" s="328">
        <v>0</v>
      </c>
      <c r="AP81" s="328">
        <v>0</v>
      </c>
      <c r="AQ81" s="171">
        <v>0</v>
      </c>
      <c r="AR81" s="328">
        <v>0</v>
      </c>
      <c r="AS81" s="171">
        <v>0</v>
      </c>
      <c r="AT81" s="328">
        <v>0</v>
      </c>
      <c r="AU81" s="171">
        <v>0</v>
      </c>
      <c r="AV81" s="171">
        <v>0</v>
      </c>
      <c r="AW81" s="328">
        <v>0</v>
      </c>
      <c r="AX81" s="171">
        <v>0</v>
      </c>
      <c r="AY81" s="328">
        <v>0</v>
      </c>
      <c r="AZ81" s="171">
        <v>0</v>
      </c>
      <c r="BA81" s="171">
        <v>0</v>
      </c>
      <c r="BB81" s="329"/>
    </row>
    <row r="82" spans="1:54" ht="31.5">
      <c r="A82" s="218"/>
      <c r="B82" s="330" t="s">
        <v>141</v>
      </c>
      <c r="C82" s="274"/>
      <c r="D82" s="171">
        <f t="shared" si="57"/>
        <v>0</v>
      </c>
      <c r="E82" s="171">
        <f t="shared" si="58"/>
        <v>0</v>
      </c>
      <c r="F82" s="171">
        <f t="shared" si="59"/>
        <v>0</v>
      </c>
      <c r="G82" s="171">
        <f t="shared" si="60"/>
        <v>0</v>
      </c>
      <c r="H82" s="171">
        <f t="shared" si="61"/>
        <v>0</v>
      </c>
      <c r="I82" s="171">
        <v>0</v>
      </c>
      <c r="J82" s="171">
        <v>0</v>
      </c>
      <c r="K82" s="171">
        <v>0</v>
      </c>
      <c r="L82" s="171">
        <v>0</v>
      </c>
      <c r="M82" s="171">
        <v>0</v>
      </c>
      <c r="N82" s="171">
        <v>0</v>
      </c>
      <c r="O82" s="171">
        <v>0</v>
      </c>
      <c r="P82" s="171">
        <v>0</v>
      </c>
      <c r="Q82" s="171">
        <v>0</v>
      </c>
      <c r="R82" s="171">
        <v>0</v>
      </c>
      <c r="S82" s="171">
        <v>0</v>
      </c>
      <c r="T82" s="171">
        <v>0</v>
      </c>
      <c r="U82" s="171">
        <v>0</v>
      </c>
      <c r="V82" s="171">
        <v>0</v>
      </c>
      <c r="W82" s="171">
        <v>0</v>
      </c>
      <c r="X82" s="171">
        <v>0</v>
      </c>
      <c r="Y82" s="171">
        <v>0</v>
      </c>
      <c r="Z82" s="171">
        <v>0</v>
      </c>
      <c r="AA82" s="171">
        <v>0</v>
      </c>
      <c r="AB82" s="171">
        <v>0</v>
      </c>
      <c r="AC82" s="171">
        <f t="shared" si="62"/>
        <v>0</v>
      </c>
      <c r="AD82" s="328">
        <f t="shared" si="63"/>
        <v>0</v>
      </c>
      <c r="AE82" s="328">
        <f t="shared" si="64"/>
        <v>0</v>
      </c>
      <c r="AF82" s="328">
        <f t="shared" si="65"/>
        <v>0</v>
      </c>
      <c r="AG82" s="328">
        <f t="shared" si="66"/>
        <v>0</v>
      </c>
      <c r="AH82" s="328">
        <v>0</v>
      </c>
      <c r="AI82" s="328">
        <v>0</v>
      </c>
      <c r="AJ82" s="328">
        <v>0</v>
      </c>
      <c r="AK82" s="328">
        <v>0</v>
      </c>
      <c r="AL82" s="328">
        <v>0</v>
      </c>
      <c r="AM82" s="328">
        <v>0</v>
      </c>
      <c r="AN82" s="328">
        <v>0</v>
      </c>
      <c r="AO82" s="328">
        <v>0</v>
      </c>
      <c r="AP82" s="328">
        <v>0</v>
      </c>
      <c r="AQ82" s="171">
        <v>0</v>
      </c>
      <c r="AR82" s="328">
        <v>0</v>
      </c>
      <c r="AS82" s="171">
        <v>0</v>
      </c>
      <c r="AT82" s="328">
        <v>0</v>
      </c>
      <c r="AU82" s="171">
        <v>0</v>
      </c>
      <c r="AV82" s="171">
        <v>0</v>
      </c>
      <c r="AW82" s="328">
        <v>0</v>
      </c>
      <c r="AX82" s="171">
        <v>0</v>
      </c>
      <c r="AY82" s="328">
        <v>0</v>
      </c>
      <c r="AZ82" s="171">
        <v>0</v>
      </c>
      <c r="BA82" s="171">
        <v>0</v>
      </c>
      <c r="BB82" s="329"/>
    </row>
    <row r="83" spans="1:54" ht="18.75">
      <c r="A83" s="218"/>
      <c r="B83" s="330" t="s">
        <v>143</v>
      </c>
      <c r="C83" s="274"/>
      <c r="D83" s="171">
        <f t="shared" si="57"/>
        <v>0</v>
      </c>
      <c r="E83" s="171">
        <f t="shared" si="58"/>
        <v>0</v>
      </c>
      <c r="F83" s="171">
        <f t="shared" si="59"/>
        <v>0</v>
      </c>
      <c r="G83" s="171">
        <f t="shared" si="60"/>
        <v>0</v>
      </c>
      <c r="H83" s="171">
        <f t="shared" si="61"/>
        <v>0</v>
      </c>
      <c r="I83" s="171">
        <v>0</v>
      </c>
      <c r="J83" s="171">
        <v>0</v>
      </c>
      <c r="K83" s="171">
        <v>0</v>
      </c>
      <c r="L83" s="171">
        <v>0</v>
      </c>
      <c r="M83" s="171">
        <v>0</v>
      </c>
      <c r="N83" s="171">
        <v>0</v>
      </c>
      <c r="O83" s="171">
        <v>0</v>
      </c>
      <c r="P83" s="171">
        <v>0</v>
      </c>
      <c r="Q83" s="171">
        <v>0</v>
      </c>
      <c r="R83" s="171">
        <v>0</v>
      </c>
      <c r="S83" s="171">
        <v>0</v>
      </c>
      <c r="T83" s="171">
        <v>0</v>
      </c>
      <c r="U83" s="171">
        <v>0</v>
      </c>
      <c r="V83" s="171">
        <v>0</v>
      </c>
      <c r="W83" s="171">
        <v>0</v>
      </c>
      <c r="X83" s="171">
        <v>0</v>
      </c>
      <c r="Y83" s="171">
        <v>0</v>
      </c>
      <c r="Z83" s="171">
        <v>0</v>
      </c>
      <c r="AA83" s="171">
        <v>0</v>
      </c>
      <c r="AB83" s="171">
        <v>0</v>
      </c>
      <c r="AC83" s="171">
        <f t="shared" si="62"/>
        <v>0</v>
      </c>
      <c r="AD83" s="328">
        <f t="shared" si="63"/>
        <v>0</v>
      </c>
      <c r="AE83" s="328">
        <f t="shared" si="64"/>
        <v>0</v>
      </c>
      <c r="AF83" s="328">
        <f t="shared" si="65"/>
        <v>0</v>
      </c>
      <c r="AG83" s="328">
        <f t="shared" si="66"/>
        <v>0</v>
      </c>
      <c r="AH83" s="328">
        <v>0</v>
      </c>
      <c r="AI83" s="328">
        <v>0</v>
      </c>
      <c r="AJ83" s="328">
        <v>0</v>
      </c>
      <c r="AK83" s="328">
        <v>0</v>
      </c>
      <c r="AL83" s="328">
        <v>0</v>
      </c>
      <c r="AM83" s="328">
        <v>0</v>
      </c>
      <c r="AN83" s="328">
        <v>0</v>
      </c>
      <c r="AO83" s="328">
        <v>0</v>
      </c>
      <c r="AP83" s="328">
        <v>0</v>
      </c>
      <c r="AQ83" s="171">
        <v>0</v>
      </c>
      <c r="AR83" s="328">
        <v>0</v>
      </c>
      <c r="AS83" s="171">
        <v>0</v>
      </c>
      <c r="AT83" s="328">
        <v>0</v>
      </c>
      <c r="AU83" s="171">
        <v>0</v>
      </c>
      <c r="AV83" s="171">
        <v>0</v>
      </c>
      <c r="AW83" s="328">
        <v>0</v>
      </c>
      <c r="AX83" s="171">
        <v>0</v>
      </c>
      <c r="AY83" s="328">
        <v>0</v>
      </c>
      <c r="AZ83" s="171">
        <v>0</v>
      </c>
      <c r="BA83" s="171">
        <v>0</v>
      </c>
      <c r="BB83" s="329"/>
    </row>
    <row r="84" spans="1:54" ht="15.75">
      <c r="A84" s="23"/>
      <c r="B84" s="22"/>
      <c r="C84" s="23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188"/>
      <c r="AR84" s="321"/>
      <c r="AS84" s="188"/>
      <c r="AT84" s="292"/>
      <c r="AU84" s="188"/>
      <c r="AV84" s="188"/>
      <c r="AW84" s="321"/>
      <c r="AX84" s="188"/>
      <c r="AY84" s="292"/>
      <c r="AZ84" s="188"/>
      <c r="BA84" s="188"/>
      <c r="BB84" s="23"/>
    </row>
    <row r="85" spans="1:54" ht="15.75">
      <c r="A85" s="23"/>
      <c r="B85" s="22"/>
      <c r="C85" s="23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321"/>
      <c r="AE85" s="33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188"/>
      <c r="AR85" s="321"/>
      <c r="AS85" s="188"/>
      <c r="AT85" s="292"/>
      <c r="AU85" s="188"/>
      <c r="AV85" s="188"/>
      <c r="AW85" s="321"/>
      <c r="AX85" s="188"/>
      <c r="AY85" s="292"/>
      <c r="AZ85" s="188"/>
      <c r="BA85" s="188"/>
      <c r="BB85" s="23"/>
    </row>
    <row r="86" spans="1:54" ht="15.75">
      <c r="A86" s="23"/>
      <c r="B86" s="22"/>
      <c r="C86" s="23"/>
      <c r="D86" s="188">
        <f>'14 Принятие ОС'!F22-D22</f>
        <v>0</v>
      </c>
      <c r="E86" s="188">
        <f>'14 Принятие ОС'!G22-E22</f>
        <v>0</v>
      </c>
      <c r="F86" s="188">
        <f>'14 Принятие ОС'!H22-F22</f>
        <v>0</v>
      </c>
      <c r="G86" s="188">
        <f>'14 Принятие ОС'!I22-G22</f>
        <v>0</v>
      </c>
      <c r="H86" s="188">
        <f>'14 Принятие ОС'!J22-H22</f>
        <v>0</v>
      </c>
      <c r="I86" s="188">
        <f>'14 Принятие ОС'!K22-I22</f>
        <v>0</v>
      </c>
      <c r="J86" s="188">
        <f>'14 Принятие ОС'!L22-J22</f>
        <v>0</v>
      </c>
      <c r="K86" s="188">
        <f>'14 Принятие ОС'!M22-K22</f>
        <v>0</v>
      </c>
      <c r="L86" s="188">
        <f>'14 Принятие ОС'!N22-L22</f>
        <v>0</v>
      </c>
      <c r="M86" s="188">
        <f>'14 Принятие ОС'!O22-M22</f>
        <v>0</v>
      </c>
      <c r="N86" s="188">
        <f>'14 Принятие ОС'!P22-N22</f>
        <v>0</v>
      </c>
      <c r="O86" s="188">
        <f>'14 Принятие ОС'!Q22-O22</f>
        <v>0</v>
      </c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321"/>
      <c r="AO86" s="321"/>
      <c r="AP86" s="321"/>
      <c r="AQ86" s="188"/>
      <c r="AR86" s="321"/>
      <c r="AS86" s="188"/>
      <c r="AT86" s="292"/>
      <c r="AU86" s="188"/>
      <c r="AV86" s="188"/>
      <c r="AW86" s="321"/>
      <c r="AX86" s="188"/>
      <c r="AY86" s="292"/>
      <c r="AZ86" s="188"/>
      <c r="BA86" s="188"/>
      <c r="BB86" s="23"/>
    </row>
    <row r="87" spans="1:54" ht="15.75">
      <c r="A87" s="23"/>
      <c r="B87" s="22"/>
      <c r="C87" s="23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188"/>
      <c r="AR87" s="321"/>
      <c r="AS87" s="188"/>
      <c r="AT87" s="292"/>
      <c r="AU87" s="188"/>
      <c r="AV87" s="188"/>
      <c r="AW87" s="321"/>
      <c r="AX87" s="188"/>
      <c r="AY87" s="292"/>
      <c r="AZ87" s="188"/>
      <c r="BA87" s="188"/>
      <c r="BB87" s="23"/>
    </row>
    <row r="88" spans="1:54" ht="15.75">
      <c r="A88" s="23"/>
      <c r="B88" s="22"/>
      <c r="C88" s="23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321"/>
      <c r="AE88" s="321"/>
      <c r="AF88" s="321"/>
      <c r="AG88" s="321"/>
      <c r="AH88" s="321"/>
      <c r="AI88" s="321"/>
      <c r="AJ88" s="321"/>
      <c r="AK88" s="321"/>
      <c r="AL88" s="321"/>
      <c r="AM88" s="321"/>
      <c r="AN88" s="321"/>
      <c r="AO88" s="321"/>
      <c r="AP88" s="321"/>
      <c r="AQ88" s="188"/>
      <c r="AR88" s="321"/>
      <c r="AS88" s="188"/>
      <c r="AT88" s="292"/>
      <c r="AU88" s="188"/>
      <c r="AV88" s="188"/>
      <c r="AW88" s="321"/>
      <c r="AX88" s="188"/>
      <c r="AY88" s="292"/>
      <c r="AZ88" s="188"/>
      <c r="BA88" s="188"/>
      <c r="BB88" s="23"/>
    </row>
    <row r="89" spans="1:54" ht="15.75">
      <c r="A89" s="23"/>
      <c r="B89" s="22"/>
      <c r="C89" s="23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321"/>
      <c r="AE89" s="321"/>
      <c r="AF89" s="321"/>
      <c r="AG89" s="321"/>
      <c r="AH89" s="321"/>
      <c r="AI89" s="321"/>
      <c r="AJ89" s="321"/>
      <c r="AK89" s="321"/>
      <c r="AL89" s="321"/>
      <c r="AM89" s="321"/>
      <c r="AN89" s="321"/>
      <c r="AO89" s="321"/>
      <c r="AP89" s="321"/>
      <c r="AQ89" s="188"/>
      <c r="AR89" s="321"/>
      <c r="AS89" s="188"/>
      <c r="AT89" s="292"/>
      <c r="AU89" s="188"/>
      <c r="AV89" s="188"/>
      <c r="AW89" s="321"/>
      <c r="AX89" s="188"/>
      <c r="AY89" s="292"/>
      <c r="AZ89" s="188"/>
      <c r="BA89" s="188"/>
      <c r="BB89" s="23"/>
    </row>
    <row r="90" spans="1:54" ht="15.75">
      <c r="A90" s="23"/>
      <c r="B90" s="22"/>
      <c r="C90" s="23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321"/>
      <c r="AE90" s="321"/>
      <c r="AF90" s="321"/>
      <c r="AG90" s="321"/>
      <c r="AH90" s="321"/>
      <c r="AI90" s="321"/>
      <c r="AJ90" s="321"/>
      <c r="AK90" s="321"/>
      <c r="AL90" s="321"/>
      <c r="AM90" s="321"/>
      <c r="AN90" s="321"/>
      <c r="AO90" s="321"/>
      <c r="AP90" s="321"/>
      <c r="AQ90" s="188"/>
      <c r="AR90" s="321"/>
      <c r="AS90" s="188"/>
      <c r="AT90" s="292"/>
      <c r="AU90" s="188"/>
      <c r="AV90" s="188"/>
      <c r="AW90" s="321"/>
      <c r="AX90" s="188"/>
      <c r="AY90" s="292"/>
      <c r="AZ90" s="188"/>
      <c r="BA90" s="188"/>
      <c r="BB90" s="23"/>
    </row>
    <row r="91" spans="1:54" ht="15.75">
      <c r="A91" s="23"/>
      <c r="B91" s="22"/>
      <c r="C91" s="23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321"/>
      <c r="AE91" s="321"/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321"/>
      <c r="AQ91" s="188"/>
      <c r="AR91" s="321"/>
      <c r="AS91" s="188"/>
      <c r="AT91" s="292"/>
      <c r="AU91" s="188"/>
      <c r="AV91" s="188"/>
      <c r="AW91" s="321"/>
      <c r="AX91" s="188"/>
      <c r="AY91" s="292"/>
      <c r="AZ91" s="188"/>
      <c r="BA91" s="188"/>
      <c r="BB91" s="23"/>
    </row>
    <row r="92" spans="1:54" ht="15.75">
      <c r="A92" s="23"/>
      <c r="B92" s="22"/>
      <c r="C92" s="23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321"/>
      <c r="AE92" s="321"/>
      <c r="AF92" s="321"/>
      <c r="AG92" s="321"/>
      <c r="AH92" s="321"/>
      <c r="AI92" s="321"/>
      <c r="AJ92" s="321"/>
      <c r="AK92" s="321"/>
      <c r="AL92" s="321"/>
      <c r="AM92" s="321"/>
      <c r="AN92" s="321"/>
      <c r="AO92" s="321"/>
      <c r="AP92" s="321"/>
      <c r="AQ92" s="188"/>
      <c r="AR92" s="321"/>
      <c r="AS92" s="188"/>
      <c r="AT92" s="292"/>
      <c r="AU92" s="188"/>
      <c r="AV92" s="188"/>
      <c r="AW92" s="321"/>
      <c r="AX92" s="188"/>
      <c r="AY92" s="292"/>
      <c r="AZ92" s="188"/>
      <c r="BA92" s="188"/>
      <c r="BB92" s="23"/>
    </row>
    <row r="93" spans="1:54" ht="15.75">
      <c r="A93" s="23"/>
      <c r="B93" s="22"/>
      <c r="C93" s="23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321"/>
      <c r="AE93" s="321"/>
      <c r="AF93" s="321"/>
      <c r="AG93" s="321"/>
      <c r="AH93" s="321"/>
      <c r="AI93" s="321"/>
      <c r="AJ93" s="321"/>
      <c r="AK93" s="321"/>
      <c r="AL93" s="321"/>
      <c r="AM93" s="321"/>
      <c r="AN93" s="321"/>
      <c r="AO93" s="321"/>
      <c r="AP93" s="321"/>
      <c r="AQ93" s="188"/>
      <c r="AR93" s="321"/>
      <c r="AS93" s="188"/>
      <c r="AT93" s="292"/>
      <c r="AU93" s="188"/>
      <c r="AV93" s="188"/>
      <c r="AW93" s="321"/>
      <c r="AX93" s="188"/>
      <c r="AY93" s="292"/>
      <c r="AZ93" s="188"/>
      <c r="BA93" s="188"/>
      <c r="BB93" s="23"/>
    </row>
    <row r="94" spans="1:54" ht="15.75">
      <c r="A94" s="23"/>
      <c r="B94" s="22"/>
      <c r="C94" s="23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321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1"/>
      <c r="AP94" s="321"/>
      <c r="AQ94" s="188"/>
      <c r="AR94" s="321"/>
      <c r="AS94" s="188"/>
      <c r="AT94" s="292"/>
      <c r="AU94" s="188"/>
      <c r="AV94" s="188"/>
      <c r="AW94" s="321"/>
      <c r="AX94" s="188"/>
      <c r="AY94" s="292"/>
      <c r="AZ94" s="188"/>
      <c r="BA94" s="188"/>
      <c r="BB94" s="23"/>
    </row>
    <row r="95" spans="1:54" ht="15.75">
      <c r="A95" s="23"/>
      <c r="B95" s="22"/>
      <c r="C95" s="23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188"/>
      <c r="AR95" s="321"/>
      <c r="AS95" s="188"/>
      <c r="AT95" s="292"/>
      <c r="AU95" s="188"/>
      <c r="AV95" s="188"/>
      <c r="AW95" s="321"/>
      <c r="AX95" s="188"/>
      <c r="AY95" s="292"/>
      <c r="AZ95" s="188"/>
      <c r="BA95" s="188"/>
      <c r="BB95" s="23"/>
    </row>
    <row r="96" spans="1:54" ht="15.75">
      <c r="A96" s="23"/>
      <c r="B96" s="22"/>
      <c r="C96" s="23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188"/>
      <c r="AR96" s="321"/>
      <c r="AS96" s="188"/>
      <c r="AT96" s="292"/>
      <c r="AU96" s="188"/>
      <c r="AV96" s="188"/>
      <c r="AW96" s="321"/>
      <c r="AX96" s="188"/>
      <c r="AY96" s="292"/>
      <c r="AZ96" s="188"/>
      <c r="BA96" s="188"/>
      <c r="BB96" s="23"/>
    </row>
    <row r="97" spans="1:54" ht="15.75">
      <c r="A97" s="23"/>
      <c r="B97" s="22"/>
      <c r="C97" s="23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188"/>
      <c r="AR97" s="321"/>
      <c r="AS97" s="188"/>
      <c r="AT97" s="292"/>
      <c r="AU97" s="188"/>
      <c r="AV97" s="188"/>
      <c r="AW97" s="321"/>
      <c r="AX97" s="188"/>
      <c r="AY97" s="292"/>
      <c r="AZ97" s="188"/>
      <c r="BA97" s="188"/>
      <c r="BB97" s="23"/>
    </row>
    <row r="98" spans="1:54" ht="15.75">
      <c r="A98" s="23"/>
      <c r="B98" s="22"/>
      <c r="C98" s="23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321"/>
      <c r="AE98" s="321"/>
      <c r="AF98" s="321"/>
      <c r="AG98" s="321"/>
      <c r="AH98" s="321"/>
      <c r="AI98" s="321"/>
      <c r="AJ98" s="321"/>
      <c r="AK98" s="321"/>
      <c r="AL98" s="321"/>
      <c r="AM98" s="321"/>
      <c r="AN98" s="321"/>
      <c r="AO98" s="321"/>
      <c r="AP98" s="321"/>
      <c r="AQ98" s="188"/>
      <c r="AR98" s="321"/>
      <c r="AS98" s="188"/>
      <c r="AT98" s="292"/>
      <c r="AU98" s="188"/>
      <c r="AV98" s="188"/>
      <c r="AW98" s="321"/>
      <c r="AX98" s="188"/>
      <c r="AY98" s="292"/>
      <c r="AZ98" s="188"/>
      <c r="BA98" s="188"/>
      <c r="BB98" s="23"/>
    </row>
    <row r="99" spans="1:54" ht="15.75">
      <c r="A99" s="23"/>
      <c r="B99" s="22"/>
      <c r="C99" s="23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321"/>
      <c r="AE99" s="321"/>
      <c r="AF99" s="321"/>
      <c r="AG99" s="321"/>
      <c r="AH99" s="321"/>
      <c r="AI99" s="321"/>
      <c r="AJ99" s="321"/>
      <c r="AK99" s="321"/>
      <c r="AL99" s="321"/>
      <c r="AM99" s="321"/>
      <c r="AN99" s="321"/>
      <c r="AO99" s="321"/>
      <c r="AP99" s="321"/>
      <c r="AQ99" s="188"/>
      <c r="AR99" s="321"/>
      <c r="AS99" s="188"/>
      <c r="AT99" s="292"/>
      <c r="AU99" s="188"/>
      <c r="AV99" s="188"/>
      <c r="AW99" s="321"/>
      <c r="AX99" s="188"/>
      <c r="AY99" s="292"/>
      <c r="AZ99" s="188"/>
      <c r="BA99" s="188"/>
      <c r="BB99" s="23"/>
    </row>
    <row r="100" spans="1:54" ht="15.75">
      <c r="A100" s="23"/>
      <c r="B100" s="22"/>
      <c r="C100" s="23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188"/>
      <c r="AR100" s="321"/>
      <c r="AS100" s="188"/>
      <c r="AT100" s="292"/>
      <c r="AU100" s="188"/>
      <c r="AV100" s="188"/>
      <c r="AW100" s="321"/>
      <c r="AX100" s="188"/>
      <c r="AY100" s="292"/>
      <c r="AZ100" s="188"/>
      <c r="BA100" s="188"/>
      <c r="BB100" s="23"/>
    </row>
    <row r="101" spans="1:54" ht="15.75">
      <c r="A101" s="23"/>
      <c r="B101" s="22"/>
      <c r="C101" s="23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321"/>
      <c r="AE101" s="321"/>
      <c r="AF101" s="321"/>
      <c r="AG101" s="321"/>
      <c r="AH101" s="321"/>
      <c r="AI101" s="321"/>
      <c r="AJ101" s="321"/>
      <c r="AK101" s="321"/>
      <c r="AL101" s="321"/>
      <c r="AM101" s="321"/>
      <c r="AN101" s="321"/>
      <c r="AO101" s="321"/>
      <c r="AP101" s="321"/>
      <c r="AQ101" s="188"/>
      <c r="AR101" s="321"/>
      <c r="AS101" s="188"/>
      <c r="AT101" s="292"/>
      <c r="AU101" s="188"/>
      <c r="AV101" s="188"/>
      <c r="AW101" s="321"/>
      <c r="AX101" s="188"/>
      <c r="AY101" s="292"/>
      <c r="AZ101" s="188"/>
      <c r="BA101" s="188"/>
      <c r="BB101" s="23"/>
    </row>
    <row r="102" spans="1:54" ht="15.75">
      <c r="A102" s="23"/>
      <c r="B102" s="22"/>
      <c r="C102" s="23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321"/>
      <c r="AE102" s="321"/>
      <c r="AF102" s="321"/>
      <c r="AG102" s="321"/>
      <c r="AH102" s="321"/>
      <c r="AI102" s="321"/>
      <c r="AJ102" s="321"/>
      <c r="AK102" s="321"/>
      <c r="AL102" s="321"/>
      <c r="AM102" s="321"/>
      <c r="AN102" s="321"/>
      <c r="AO102" s="321"/>
      <c r="AP102" s="321"/>
      <c r="AQ102" s="188"/>
      <c r="AR102" s="321"/>
      <c r="AS102" s="188"/>
      <c r="AT102" s="292"/>
      <c r="AU102" s="188"/>
      <c r="AV102" s="188"/>
      <c r="AW102" s="321"/>
      <c r="AX102" s="188"/>
      <c r="AY102" s="292"/>
      <c r="AZ102" s="188"/>
      <c r="BA102" s="188"/>
      <c r="BB102" s="23"/>
    </row>
    <row r="103" spans="1:54" ht="15.75">
      <c r="A103" s="23"/>
      <c r="B103" s="22"/>
      <c r="C103" s="23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321"/>
      <c r="AE103" s="321"/>
      <c r="AF103" s="321"/>
      <c r="AG103" s="321"/>
      <c r="AH103" s="321"/>
      <c r="AI103" s="321"/>
      <c r="AJ103" s="321"/>
      <c r="AK103" s="321"/>
      <c r="AL103" s="321"/>
      <c r="AM103" s="321"/>
      <c r="AN103" s="321"/>
      <c r="AO103" s="321"/>
      <c r="AP103" s="321"/>
      <c r="AQ103" s="188"/>
      <c r="AR103" s="321"/>
      <c r="AS103" s="188"/>
      <c r="AT103" s="292"/>
      <c r="AU103" s="188"/>
      <c r="AV103" s="188"/>
      <c r="AW103" s="321"/>
      <c r="AX103" s="188"/>
      <c r="AY103" s="292"/>
      <c r="AZ103" s="188"/>
      <c r="BA103" s="188"/>
      <c r="BB103" s="23"/>
    </row>
    <row r="104" spans="1:54" ht="15.75">
      <c r="A104" s="23"/>
      <c r="B104" s="22"/>
      <c r="C104" s="23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321"/>
      <c r="AE104" s="321"/>
      <c r="AF104" s="321"/>
      <c r="AG104" s="321"/>
      <c r="AH104" s="321"/>
      <c r="AI104" s="321"/>
      <c r="AJ104" s="321"/>
      <c r="AK104" s="321"/>
      <c r="AL104" s="321"/>
      <c r="AM104" s="321"/>
      <c r="AN104" s="321"/>
      <c r="AO104" s="321"/>
      <c r="AP104" s="321"/>
      <c r="AQ104" s="188"/>
      <c r="AR104" s="321"/>
      <c r="AS104" s="188"/>
      <c r="AT104" s="292"/>
      <c r="AU104" s="188"/>
      <c r="AV104" s="188"/>
      <c r="AW104" s="321"/>
      <c r="AX104" s="188"/>
      <c r="AY104" s="292"/>
      <c r="AZ104" s="188"/>
      <c r="BA104" s="188"/>
      <c r="BB104" s="23"/>
    </row>
    <row r="105" spans="1:54" ht="15.75">
      <c r="A105" s="23"/>
      <c r="B105" s="22"/>
      <c r="C105" s="23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321"/>
      <c r="AE105" s="321"/>
      <c r="AF105" s="321"/>
      <c r="AG105" s="321"/>
      <c r="AH105" s="321"/>
      <c r="AI105" s="321"/>
      <c r="AJ105" s="321"/>
      <c r="AK105" s="321"/>
      <c r="AL105" s="321"/>
      <c r="AM105" s="321"/>
      <c r="AN105" s="321"/>
      <c r="AO105" s="321"/>
      <c r="AP105" s="321"/>
      <c r="AQ105" s="188"/>
      <c r="AR105" s="321"/>
      <c r="AS105" s="188"/>
      <c r="AT105" s="292"/>
      <c r="AU105" s="188"/>
      <c r="AV105" s="188"/>
      <c r="AW105" s="321"/>
      <c r="AX105" s="188"/>
      <c r="AY105" s="292"/>
      <c r="AZ105" s="188"/>
      <c r="BA105" s="188"/>
      <c r="BB105" s="23"/>
    </row>
    <row r="106" spans="1:54" ht="15.75">
      <c r="A106" s="23"/>
      <c r="B106" s="22"/>
      <c r="C106" s="23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321"/>
      <c r="AE106" s="321"/>
      <c r="AF106" s="321"/>
      <c r="AG106" s="321"/>
      <c r="AH106" s="321"/>
      <c r="AI106" s="321"/>
      <c r="AJ106" s="321"/>
      <c r="AK106" s="321"/>
      <c r="AL106" s="321"/>
      <c r="AM106" s="321"/>
      <c r="AN106" s="321"/>
      <c r="AO106" s="321"/>
      <c r="AP106" s="321"/>
      <c r="AQ106" s="188"/>
      <c r="AR106" s="321"/>
      <c r="AS106" s="188"/>
      <c r="AT106" s="292"/>
      <c r="AU106" s="188"/>
      <c r="AV106" s="188"/>
      <c r="AW106" s="321"/>
      <c r="AX106" s="188"/>
      <c r="AY106" s="292"/>
      <c r="AZ106" s="188"/>
      <c r="BA106" s="188"/>
      <c r="BB106" s="23"/>
    </row>
    <row r="107" spans="1:54" ht="15.75">
      <c r="A107" s="23"/>
      <c r="B107" s="22"/>
      <c r="C107" s="23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1"/>
      <c r="AO107" s="321"/>
      <c r="AP107" s="321"/>
      <c r="AQ107" s="188"/>
      <c r="AR107" s="321"/>
      <c r="AS107" s="188"/>
      <c r="AT107" s="292"/>
      <c r="AU107" s="188"/>
      <c r="AV107" s="188"/>
      <c r="AW107" s="321"/>
      <c r="AX107" s="188"/>
      <c r="AY107" s="292"/>
      <c r="AZ107" s="188"/>
      <c r="BA107" s="188"/>
      <c r="BB107" s="23"/>
    </row>
    <row r="108" spans="1:54" ht="15.75">
      <c r="A108" s="23"/>
      <c r="B108" s="22"/>
      <c r="C108" s="23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321"/>
      <c r="AE108" s="321"/>
      <c r="AF108" s="321"/>
      <c r="AG108" s="321"/>
      <c r="AH108" s="321"/>
      <c r="AI108" s="321"/>
      <c r="AJ108" s="321"/>
      <c r="AK108" s="321"/>
      <c r="AL108" s="321"/>
      <c r="AM108" s="321"/>
      <c r="AN108" s="321"/>
      <c r="AO108" s="321"/>
      <c r="AP108" s="321"/>
      <c r="AQ108" s="188"/>
      <c r="AR108" s="321"/>
      <c r="AS108" s="188"/>
      <c r="AT108" s="292"/>
      <c r="AU108" s="188"/>
      <c r="AV108" s="188"/>
      <c r="AW108" s="321"/>
      <c r="AX108" s="188"/>
      <c r="AY108" s="292"/>
      <c r="AZ108" s="188"/>
      <c r="BA108" s="188"/>
      <c r="BB108" s="23"/>
    </row>
    <row r="109" spans="1:54" ht="15.75">
      <c r="A109" s="23"/>
      <c r="B109" s="22"/>
      <c r="C109" s="23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321"/>
      <c r="AE109" s="321"/>
      <c r="AF109" s="321"/>
      <c r="AG109" s="321"/>
      <c r="AH109" s="321"/>
      <c r="AI109" s="321"/>
      <c r="AJ109" s="321"/>
      <c r="AK109" s="321"/>
      <c r="AL109" s="321"/>
      <c r="AM109" s="321"/>
      <c r="AN109" s="321"/>
      <c r="AO109" s="321"/>
      <c r="AP109" s="321"/>
      <c r="AQ109" s="188"/>
      <c r="AR109" s="321"/>
      <c r="AS109" s="188"/>
      <c r="AT109" s="292"/>
      <c r="AU109" s="188"/>
      <c r="AV109" s="188"/>
      <c r="AW109" s="321"/>
      <c r="AX109" s="188"/>
      <c r="AY109" s="292"/>
      <c r="AZ109" s="188"/>
      <c r="BA109" s="188"/>
      <c r="BB109" s="23"/>
    </row>
    <row r="110" spans="1:54" ht="15.75">
      <c r="A110" s="23"/>
      <c r="B110" s="22"/>
      <c r="C110" s="23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188"/>
      <c r="AR110" s="321"/>
      <c r="AS110" s="188"/>
      <c r="AT110" s="292"/>
      <c r="AU110" s="188"/>
      <c r="AV110" s="188"/>
      <c r="AW110" s="321"/>
      <c r="AX110" s="188"/>
      <c r="AY110" s="292"/>
      <c r="AZ110" s="188"/>
      <c r="BA110" s="188"/>
      <c r="BB110" s="23"/>
    </row>
    <row r="111" spans="1:54" ht="15.75">
      <c r="A111" s="23"/>
      <c r="B111" s="22"/>
      <c r="C111" s="23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188"/>
      <c r="AR111" s="321"/>
      <c r="AS111" s="188"/>
      <c r="AT111" s="292"/>
      <c r="AU111" s="188"/>
      <c r="AV111" s="188"/>
      <c r="AW111" s="321"/>
      <c r="AX111" s="188"/>
      <c r="AY111" s="292"/>
      <c r="AZ111" s="188"/>
      <c r="BA111" s="188"/>
      <c r="BB111" s="23"/>
    </row>
    <row r="112" spans="1:54" ht="15.75">
      <c r="A112" s="23"/>
      <c r="B112" s="22"/>
      <c r="C112" s="23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1"/>
      <c r="AO112" s="321"/>
      <c r="AP112" s="321"/>
      <c r="AQ112" s="188"/>
      <c r="AR112" s="321"/>
      <c r="AS112" s="188"/>
      <c r="AT112" s="292"/>
      <c r="AU112" s="188"/>
      <c r="AV112" s="188"/>
      <c r="AW112" s="321"/>
      <c r="AX112" s="188"/>
      <c r="AY112" s="292"/>
      <c r="AZ112" s="188"/>
      <c r="BA112" s="188"/>
      <c r="BB112" s="23"/>
    </row>
    <row r="113" spans="1:54" ht="15.75">
      <c r="A113" s="23"/>
      <c r="B113" s="22"/>
      <c r="C113" s="23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321"/>
      <c r="AE113" s="321"/>
      <c r="AF113" s="321"/>
      <c r="AG113" s="321"/>
      <c r="AH113" s="321"/>
      <c r="AI113" s="321"/>
      <c r="AJ113" s="321"/>
      <c r="AK113" s="321"/>
      <c r="AL113" s="321"/>
      <c r="AM113" s="321"/>
      <c r="AN113" s="321"/>
      <c r="AO113" s="321"/>
      <c r="AP113" s="321"/>
      <c r="AQ113" s="188"/>
      <c r="AR113" s="321"/>
      <c r="AS113" s="188"/>
      <c r="AT113" s="292"/>
      <c r="AU113" s="188"/>
      <c r="AV113" s="188"/>
      <c r="AW113" s="321"/>
      <c r="AX113" s="188"/>
      <c r="AY113" s="292"/>
      <c r="AZ113" s="188"/>
      <c r="BA113" s="188"/>
      <c r="BB113" s="23"/>
    </row>
    <row r="114" spans="1:54" ht="15.75">
      <c r="A114" s="23"/>
      <c r="B114" s="22"/>
      <c r="C114" s="23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321"/>
      <c r="AE114" s="321"/>
      <c r="AF114" s="321"/>
      <c r="AG114" s="321"/>
      <c r="AH114" s="321"/>
      <c r="AI114" s="321"/>
      <c r="AJ114" s="321"/>
      <c r="AK114" s="321"/>
      <c r="AL114" s="321"/>
      <c r="AM114" s="321"/>
      <c r="AN114" s="321"/>
      <c r="AO114" s="321"/>
      <c r="AP114" s="321"/>
      <c r="AQ114" s="188"/>
      <c r="AR114" s="321"/>
      <c r="AS114" s="188"/>
      <c r="AT114" s="292"/>
      <c r="AU114" s="188"/>
      <c r="AV114" s="188"/>
      <c r="AW114" s="321"/>
      <c r="AX114" s="188"/>
      <c r="AY114" s="292"/>
      <c r="AZ114" s="188"/>
      <c r="BA114" s="188"/>
      <c r="BB114" s="23"/>
    </row>
    <row r="115" spans="1:54" ht="15.75">
      <c r="A115" s="23"/>
      <c r="B115" s="22"/>
      <c r="C115" s="23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321"/>
      <c r="AE115" s="321"/>
      <c r="AF115" s="321"/>
      <c r="AG115" s="321"/>
      <c r="AH115" s="321"/>
      <c r="AI115" s="321"/>
      <c r="AJ115" s="321"/>
      <c r="AK115" s="321"/>
      <c r="AL115" s="321"/>
      <c r="AM115" s="321"/>
      <c r="AN115" s="321"/>
      <c r="AO115" s="321"/>
      <c r="AP115" s="321"/>
      <c r="AQ115" s="188"/>
      <c r="AR115" s="321"/>
      <c r="AS115" s="188"/>
      <c r="AT115" s="292"/>
      <c r="AU115" s="188"/>
      <c r="AV115" s="188"/>
      <c r="AW115" s="321"/>
      <c r="AX115" s="188"/>
      <c r="AY115" s="292"/>
      <c r="AZ115" s="188"/>
      <c r="BA115" s="188"/>
      <c r="BB115" s="23"/>
    </row>
    <row r="116" spans="1:54" ht="15.75">
      <c r="A116" s="23"/>
      <c r="B116" s="22"/>
      <c r="C116" s="23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321"/>
      <c r="AE116" s="321"/>
      <c r="AF116" s="321"/>
      <c r="AG116" s="321"/>
      <c r="AH116" s="321"/>
      <c r="AI116" s="321"/>
      <c r="AJ116" s="321"/>
      <c r="AK116" s="321"/>
      <c r="AL116" s="321"/>
      <c r="AM116" s="321"/>
      <c r="AN116" s="321"/>
      <c r="AO116" s="321"/>
      <c r="AP116" s="321"/>
      <c r="AQ116" s="188"/>
      <c r="AR116" s="321"/>
      <c r="AS116" s="188"/>
      <c r="AT116" s="292"/>
      <c r="AU116" s="188"/>
      <c r="AV116" s="188"/>
      <c r="AW116" s="321"/>
      <c r="AX116" s="188"/>
      <c r="AY116" s="292"/>
      <c r="AZ116" s="188"/>
      <c r="BA116" s="188"/>
      <c r="BB116" s="23"/>
    </row>
    <row r="117" spans="1:54" ht="15.75">
      <c r="A117" s="23"/>
      <c r="B117" s="22"/>
      <c r="C117" s="23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321"/>
      <c r="AE117" s="321"/>
      <c r="AF117" s="321"/>
      <c r="AG117" s="321"/>
      <c r="AH117" s="321"/>
      <c r="AI117" s="321"/>
      <c r="AJ117" s="321"/>
      <c r="AK117" s="321"/>
      <c r="AL117" s="321"/>
      <c r="AM117" s="321"/>
      <c r="AN117" s="321"/>
      <c r="AO117" s="321"/>
      <c r="AP117" s="321"/>
      <c r="AQ117" s="188"/>
      <c r="AR117" s="321"/>
      <c r="AS117" s="188"/>
      <c r="AT117" s="292"/>
      <c r="AU117" s="188"/>
      <c r="AV117" s="188"/>
      <c r="AW117" s="321"/>
      <c r="AX117" s="188"/>
      <c r="AY117" s="292"/>
      <c r="AZ117" s="188"/>
      <c r="BA117" s="188"/>
      <c r="BB117" s="23"/>
    </row>
    <row r="118" spans="1:54" ht="15.75">
      <c r="A118" s="23"/>
      <c r="B118" s="22"/>
      <c r="C118" s="23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188"/>
      <c r="AR118" s="321"/>
      <c r="AS118" s="188"/>
      <c r="AT118" s="292"/>
      <c r="AU118" s="188"/>
      <c r="AV118" s="188"/>
      <c r="AW118" s="321"/>
      <c r="AX118" s="188"/>
      <c r="AY118" s="292"/>
      <c r="AZ118" s="188"/>
      <c r="BA118" s="188"/>
      <c r="BB118" s="23"/>
    </row>
    <row r="119" spans="1:54" ht="15.75">
      <c r="A119" s="23"/>
      <c r="B119" s="22"/>
      <c r="C119" s="23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321"/>
      <c r="AE119" s="321"/>
      <c r="AF119" s="321"/>
      <c r="AG119" s="321"/>
      <c r="AH119" s="321"/>
      <c r="AI119" s="321"/>
      <c r="AJ119" s="321"/>
      <c r="AK119" s="321"/>
      <c r="AL119" s="321"/>
      <c r="AM119" s="321"/>
      <c r="AN119" s="321"/>
      <c r="AO119" s="321"/>
      <c r="AP119" s="321"/>
      <c r="AQ119" s="188"/>
      <c r="AR119" s="321"/>
      <c r="AS119" s="188"/>
      <c r="AT119" s="292"/>
      <c r="AU119" s="188"/>
      <c r="AV119" s="188"/>
      <c r="AW119" s="321"/>
      <c r="AX119" s="188"/>
      <c r="AY119" s="292"/>
      <c r="AZ119" s="188"/>
      <c r="BA119" s="188"/>
      <c r="BB119" s="23"/>
    </row>
    <row r="120" spans="1:54" ht="15.75">
      <c r="A120" s="23"/>
      <c r="B120" s="22"/>
      <c r="C120" s="23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321"/>
      <c r="AE120" s="321"/>
      <c r="AF120" s="321"/>
      <c r="AG120" s="321"/>
      <c r="AH120" s="321"/>
      <c r="AI120" s="321"/>
      <c r="AJ120" s="321"/>
      <c r="AK120" s="321"/>
      <c r="AL120" s="321"/>
      <c r="AM120" s="321"/>
      <c r="AN120" s="321"/>
      <c r="AO120" s="321"/>
      <c r="AP120" s="321"/>
      <c r="AQ120" s="188"/>
      <c r="AR120" s="321"/>
      <c r="AS120" s="188"/>
      <c r="AT120" s="292"/>
      <c r="AU120" s="188"/>
      <c r="AV120" s="188"/>
      <c r="AW120" s="321"/>
      <c r="AX120" s="188"/>
      <c r="AY120" s="292"/>
      <c r="AZ120" s="188"/>
      <c r="BA120" s="188"/>
      <c r="BB120" s="23"/>
    </row>
    <row r="121" spans="1:54" ht="15.75">
      <c r="A121" s="23"/>
      <c r="B121" s="22"/>
      <c r="C121" s="23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321"/>
      <c r="AE121" s="321"/>
      <c r="AF121" s="321"/>
      <c r="AG121" s="321"/>
      <c r="AH121" s="321"/>
      <c r="AI121" s="321"/>
      <c r="AJ121" s="321"/>
      <c r="AK121" s="321"/>
      <c r="AL121" s="321"/>
      <c r="AM121" s="321"/>
      <c r="AN121" s="321"/>
      <c r="AO121" s="321"/>
      <c r="AP121" s="321"/>
      <c r="AQ121" s="188"/>
      <c r="AR121" s="321"/>
      <c r="AS121" s="188"/>
      <c r="AT121" s="292"/>
      <c r="AU121" s="188"/>
      <c r="AV121" s="188"/>
      <c r="AW121" s="321"/>
      <c r="AX121" s="188"/>
      <c r="AY121" s="292"/>
      <c r="AZ121" s="188"/>
      <c r="BA121" s="188"/>
      <c r="BB121" s="23"/>
    </row>
    <row r="122" spans="1:54" ht="15.75">
      <c r="A122" s="23"/>
      <c r="B122" s="22"/>
      <c r="C122" s="23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321"/>
      <c r="AE122" s="321"/>
      <c r="AF122" s="321"/>
      <c r="AG122" s="321"/>
      <c r="AH122" s="321"/>
      <c r="AI122" s="321"/>
      <c r="AJ122" s="321"/>
      <c r="AK122" s="321"/>
      <c r="AL122" s="321"/>
      <c r="AM122" s="321"/>
      <c r="AN122" s="321"/>
      <c r="AO122" s="321"/>
      <c r="AP122" s="321"/>
      <c r="AQ122" s="188"/>
      <c r="AR122" s="321"/>
      <c r="AS122" s="188"/>
      <c r="AT122" s="292"/>
      <c r="AU122" s="188"/>
      <c r="AV122" s="188"/>
      <c r="AW122" s="321"/>
      <c r="AX122" s="188"/>
      <c r="AY122" s="292"/>
      <c r="AZ122" s="188"/>
      <c r="BA122" s="188"/>
      <c r="BB122" s="23"/>
    </row>
    <row r="123" spans="1:54" ht="15.75">
      <c r="A123" s="23"/>
      <c r="B123" s="22"/>
      <c r="C123" s="23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321"/>
      <c r="AE123" s="321"/>
      <c r="AF123" s="321"/>
      <c r="AG123" s="321"/>
      <c r="AH123" s="321"/>
      <c r="AI123" s="321"/>
      <c r="AJ123" s="321"/>
      <c r="AK123" s="321"/>
      <c r="AL123" s="321"/>
      <c r="AM123" s="321"/>
      <c r="AN123" s="321"/>
      <c r="AO123" s="321"/>
      <c r="AP123" s="321"/>
      <c r="AQ123" s="188"/>
      <c r="AR123" s="321"/>
      <c r="AS123" s="188"/>
      <c r="AT123" s="292"/>
      <c r="AU123" s="188"/>
      <c r="AV123" s="188"/>
      <c r="AW123" s="321"/>
      <c r="AX123" s="188"/>
      <c r="AY123" s="292"/>
      <c r="AZ123" s="188"/>
      <c r="BA123" s="188"/>
      <c r="BB123" s="23"/>
    </row>
    <row r="124" spans="1:54" ht="15.75">
      <c r="A124" s="23"/>
      <c r="B124" s="22"/>
      <c r="C124" s="23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321"/>
      <c r="AE124" s="321"/>
      <c r="AF124" s="321"/>
      <c r="AG124" s="321"/>
      <c r="AH124" s="321"/>
      <c r="AI124" s="321"/>
      <c r="AJ124" s="321"/>
      <c r="AK124" s="321"/>
      <c r="AL124" s="321"/>
      <c r="AM124" s="321"/>
      <c r="AN124" s="321"/>
      <c r="AO124" s="321"/>
      <c r="AP124" s="321"/>
      <c r="AQ124" s="188"/>
      <c r="AR124" s="321"/>
      <c r="AS124" s="188"/>
      <c r="AT124" s="292"/>
      <c r="AU124" s="188"/>
      <c r="AV124" s="188"/>
      <c r="AW124" s="321"/>
      <c r="AX124" s="188"/>
      <c r="AY124" s="292"/>
      <c r="AZ124" s="188"/>
      <c r="BA124" s="188"/>
      <c r="BB124" s="23"/>
    </row>
    <row r="125" spans="1:54" ht="15.75">
      <c r="A125" s="23"/>
      <c r="B125" s="22"/>
      <c r="C125" s="23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321"/>
      <c r="AE125" s="321"/>
      <c r="AF125" s="321"/>
      <c r="AG125" s="321"/>
      <c r="AH125" s="321"/>
      <c r="AI125" s="321"/>
      <c r="AJ125" s="321"/>
      <c r="AK125" s="321"/>
      <c r="AL125" s="321"/>
      <c r="AM125" s="321"/>
      <c r="AN125" s="321"/>
      <c r="AO125" s="321"/>
      <c r="AP125" s="321"/>
      <c r="AQ125" s="188"/>
      <c r="AR125" s="321"/>
      <c r="AS125" s="188"/>
      <c r="AT125" s="292"/>
      <c r="AU125" s="188"/>
      <c r="AV125" s="188"/>
      <c r="AW125" s="321"/>
      <c r="AX125" s="188"/>
      <c r="AY125" s="292"/>
      <c r="AZ125" s="188"/>
      <c r="BA125" s="188"/>
      <c r="BB125" s="23"/>
    </row>
    <row r="126" spans="1:54" ht="15.75">
      <c r="A126" s="23"/>
      <c r="B126" s="22"/>
      <c r="C126" s="23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321"/>
      <c r="AE126" s="321"/>
      <c r="AF126" s="321"/>
      <c r="AG126" s="321"/>
      <c r="AH126" s="321"/>
      <c r="AI126" s="321"/>
      <c r="AJ126" s="321"/>
      <c r="AK126" s="321"/>
      <c r="AL126" s="321"/>
      <c r="AM126" s="321"/>
      <c r="AN126" s="321"/>
      <c r="AO126" s="321"/>
      <c r="AP126" s="321"/>
      <c r="AQ126" s="188"/>
      <c r="AR126" s="321"/>
      <c r="AS126" s="188"/>
      <c r="AT126" s="292"/>
      <c r="AU126" s="188"/>
      <c r="AV126" s="188"/>
      <c r="AW126" s="321"/>
      <c r="AX126" s="188"/>
      <c r="AY126" s="292"/>
      <c r="AZ126" s="188"/>
      <c r="BA126" s="188"/>
      <c r="BB126" s="23"/>
    </row>
    <row r="127" spans="1:54" ht="15.75">
      <c r="A127" s="23"/>
      <c r="B127" s="22"/>
      <c r="C127" s="23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321"/>
      <c r="AE127" s="321"/>
      <c r="AF127" s="321"/>
      <c r="AG127" s="321"/>
      <c r="AH127" s="321"/>
      <c r="AI127" s="321"/>
      <c r="AJ127" s="321"/>
      <c r="AK127" s="321"/>
      <c r="AL127" s="321"/>
      <c r="AM127" s="321"/>
      <c r="AN127" s="321"/>
      <c r="AO127" s="321"/>
      <c r="AP127" s="321"/>
      <c r="AQ127" s="188"/>
      <c r="AR127" s="321"/>
      <c r="AS127" s="188"/>
      <c r="AT127" s="292"/>
      <c r="AU127" s="188"/>
      <c r="AV127" s="188"/>
      <c r="AW127" s="321"/>
      <c r="AX127" s="188"/>
      <c r="AY127" s="292"/>
      <c r="AZ127" s="188"/>
      <c r="BA127" s="188"/>
      <c r="BB127" s="23"/>
    </row>
    <row r="128" spans="1:54" ht="15.75">
      <c r="A128" s="23"/>
      <c r="B128" s="22"/>
      <c r="C128" s="23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321"/>
      <c r="AE128" s="321"/>
      <c r="AF128" s="321"/>
      <c r="AG128" s="321"/>
      <c r="AH128" s="321"/>
      <c r="AI128" s="321"/>
      <c r="AJ128" s="321"/>
      <c r="AK128" s="321"/>
      <c r="AL128" s="321"/>
      <c r="AM128" s="321"/>
      <c r="AN128" s="321"/>
      <c r="AO128" s="321"/>
      <c r="AP128" s="321"/>
      <c r="AQ128" s="188"/>
      <c r="AR128" s="321"/>
      <c r="AS128" s="188"/>
      <c r="AT128" s="292"/>
      <c r="AU128" s="188"/>
      <c r="AV128" s="188"/>
      <c r="AW128" s="321"/>
      <c r="AX128" s="188"/>
      <c r="AY128" s="292"/>
      <c r="AZ128" s="188"/>
      <c r="BA128" s="188"/>
      <c r="BB128" s="23"/>
    </row>
    <row r="129" spans="1:54" ht="15.75">
      <c r="A129" s="23"/>
      <c r="B129" s="22"/>
      <c r="C129" s="23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321"/>
      <c r="AE129" s="321"/>
      <c r="AF129" s="321"/>
      <c r="AG129" s="321"/>
      <c r="AH129" s="321"/>
      <c r="AI129" s="321"/>
      <c r="AJ129" s="321"/>
      <c r="AK129" s="321"/>
      <c r="AL129" s="321"/>
      <c r="AM129" s="321"/>
      <c r="AN129" s="321"/>
      <c r="AO129" s="321"/>
      <c r="AP129" s="321"/>
      <c r="AQ129" s="188"/>
      <c r="AR129" s="321"/>
      <c r="AS129" s="188"/>
      <c r="AT129" s="292"/>
      <c r="AU129" s="188"/>
      <c r="AV129" s="188"/>
      <c r="AW129" s="321"/>
      <c r="AX129" s="188"/>
      <c r="AY129" s="292"/>
      <c r="AZ129" s="188"/>
      <c r="BA129" s="188"/>
      <c r="BB129" s="23"/>
    </row>
    <row r="130" spans="1:54" ht="15.75">
      <c r="A130" s="23"/>
      <c r="B130" s="22"/>
      <c r="C130" s="23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321"/>
      <c r="AE130" s="321"/>
      <c r="AF130" s="321"/>
      <c r="AG130" s="321"/>
      <c r="AH130" s="321"/>
      <c r="AI130" s="321"/>
      <c r="AJ130" s="321"/>
      <c r="AK130" s="321"/>
      <c r="AL130" s="321"/>
      <c r="AM130" s="321"/>
      <c r="AN130" s="321"/>
      <c r="AO130" s="321"/>
      <c r="AP130" s="321"/>
      <c r="AQ130" s="188"/>
      <c r="AR130" s="321"/>
      <c r="AS130" s="188"/>
      <c r="AT130" s="292"/>
      <c r="AU130" s="188"/>
      <c r="AV130" s="188"/>
      <c r="AW130" s="321"/>
      <c r="AX130" s="188"/>
      <c r="AY130" s="292"/>
      <c r="AZ130" s="188"/>
      <c r="BA130" s="188"/>
      <c r="BB130" s="23"/>
    </row>
    <row r="131" spans="1:54" ht="15.75">
      <c r="A131" s="23"/>
      <c r="B131" s="22"/>
      <c r="C131" s="23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321"/>
      <c r="AE131" s="321"/>
      <c r="AF131" s="321"/>
      <c r="AG131" s="321"/>
      <c r="AH131" s="321"/>
      <c r="AI131" s="321"/>
      <c r="AJ131" s="321"/>
      <c r="AK131" s="321"/>
      <c r="AL131" s="321"/>
      <c r="AM131" s="321"/>
      <c r="AN131" s="321"/>
      <c r="AO131" s="321"/>
      <c r="AP131" s="321"/>
      <c r="AQ131" s="188"/>
      <c r="AR131" s="321"/>
      <c r="AS131" s="188"/>
      <c r="AT131" s="292"/>
      <c r="AU131" s="188"/>
      <c r="AV131" s="188"/>
      <c r="AW131" s="321"/>
      <c r="AX131" s="188"/>
      <c r="AY131" s="292"/>
      <c r="AZ131" s="188"/>
      <c r="BA131" s="188"/>
      <c r="BB131" s="23"/>
    </row>
    <row r="132" spans="1:54" ht="15.75">
      <c r="A132" s="23"/>
      <c r="B132" s="22"/>
      <c r="C132" s="23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321"/>
      <c r="AE132" s="321"/>
      <c r="AF132" s="321"/>
      <c r="AG132" s="321"/>
      <c r="AH132" s="321"/>
      <c r="AI132" s="321"/>
      <c r="AJ132" s="321"/>
      <c r="AK132" s="321"/>
      <c r="AL132" s="321"/>
      <c r="AM132" s="321"/>
      <c r="AN132" s="321"/>
      <c r="AO132" s="321"/>
      <c r="AP132" s="321"/>
      <c r="AQ132" s="188"/>
      <c r="AR132" s="321"/>
      <c r="AS132" s="188"/>
      <c r="AT132" s="292"/>
      <c r="AU132" s="188"/>
      <c r="AV132" s="188"/>
      <c r="AW132" s="321"/>
      <c r="AX132" s="188"/>
      <c r="AY132" s="292"/>
      <c r="AZ132" s="188"/>
      <c r="BA132" s="188"/>
      <c r="BB132" s="23"/>
    </row>
    <row r="133" spans="1:54" ht="15.75">
      <c r="A133" s="23"/>
      <c r="B133" s="22"/>
      <c r="C133" s="23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321"/>
      <c r="AE133" s="321"/>
      <c r="AF133" s="321"/>
      <c r="AG133" s="321"/>
      <c r="AH133" s="321"/>
      <c r="AI133" s="321"/>
      <c r="AJ133" s="321"/>
      <c r="AK133" s="321"/>
      <c r="AL133" s="321"/>
      <c r="AM133" s="321"/>
      <c r="AN133" s="321"/>
      <c r="AO133" s="321"/>
      <c r="AP133" s="321"/>
      <c r="AQ133" s="188"/>
      <c r="AR133" s="321"/>
      <c r="AS133" s="188"/>
      <c r="AT133" s="292"/>
      <c r="AU133" s="188"/>
      <c r="AV133" s="188"/>
      <c r="AW133" s="321"/>
      <c r="AX133" s="188"/>
      <c r="AY133" s="292"/>
      <c r="AZ133" s="188"/>
      <c r="BA133" s="188"/>
      <c r="BB133" s="23"/>
    </row>
    <row r="134" spans="1:54" ht="15.75">
      <c r="A134" s="23"/>
      <c r="B134" s="22"/>
      <c r="C134" s="23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321"/>
      <c r="AE134" s="321"/>
      <c r="AF134" s="321"/>
      <c r="AG134" s="321"/>
      <c r="AH134" s="321"/>
      <c r="AI134" s="321"/>
      <c r="AJ134" s="321"/>
      <c r="AK134" s="321"/>
      <c r="AL134" s="321"/>
      <c r="AM134" s="321"/>
      <c r="AN134" s="321"/>
      <c r="AO134" s="321"/>
      <c r="AP134" s="321"/>
      <c r="AQ134" s="188"/>
      <c r="AR134" s="321"/>
      <c r="AS134" s="188"/>
      <c r="AT134" s="292"/>
      <c r="AU134" s="188"/>
      <c r="AV134" s="188"/>
      <c r="AW134" s="321"/>
      <c r="AX134" s="188"/>
      <c r="AY134" s="292"/>
      <c r="AZ134" s="188"/>
      <c r="BA134" s="188"/>
      <c r="BB134" s="23"/>
    </row>
    <row r="135" spans="1:54" ht="15.75">
      <c r="A135" s="23"/>
      <c r="B135" s="22"/>
      <c r="C135" s="23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321"/>
      <c r="AE135" s="321"/>
      <c r="AF135" s="321"/>
      <c r="AG135" s="321"/>
      <c r="AH135" s="321"/>
      <c r="AI135" s="321"/>
      <c r="AJ135" s="321"/>
      <c r="AK135" s="321"/>
      <c r="AL135" s="321"/>
      <c r="AM135" s="321"/>
      <c r="AN135" s="321"/>
      <c r="AO135" s="321"/>
      <c r="AP135" s="321"/>
      <c r="AQ135" s="188"/>
      <c r="AR135" s="321"/>
      <c r="AS135" s="188"/>
      <c r="AT135" s="292"/>
      <c r="AU135" s="188"/>
      <c r="AV135" s="188"/>
      <c r="AW135" s="321"/>
      <c r="AX135" s="188"/>
      <c r="AY135" s="292"/>
      <c r="AZ135" s="188"/>
      <c r="BA135" s="188"/>
      <c r="BB135" s="23"/>
    </row>
    <row r="136" spans="1:54" ht="15.75">
      <c r="A136" s="23"/>
      <c r="B136" s="22"/>
      <c r="C136" s="23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321"/>
      <c r="AE136" s="321"/>
      <c r="AF136" s="321"/>
      <c r="AG136" s="321"/>
      <c r="AH136" s="321"/>
      <c r="AI136" s="321"/>
      <c r="AJ136" s="321"/>
      <c r="AK136" s="321"/>
      <c r="AL136" s="321"/>
      <c r="AM136" s="321"/>
      <c r="AN136" s="321"/>
      <c r="AO136" s="321"/>
      <c r="AP136" s="321"/>
      <c r="AQ136" s="188"/>
      <c r="AR136" s="321"/>
      <c r="AS136" s="188"/>
      <c r="AT136" s="292"/>
      <c r="AU136" s="188"/>
      <c r="AV136" s="188"/>
      <c r="AW136" s="321"/>
      <c r="AX136" s="188"/>
      <c r="AY136" s="292"/>
      <c r="AZ136" s="188"/>
      <c r="BA136" s="188"/>
      <c r="BB136" s="23"/>
    </row>
    <row r="137" spans="1:54" ht="15.75">
      <c r="A137" s="23"/>
      <c r="B137" s="22"/>
      <c r="C137" s="23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321"/>
      <c r="AE137" s="321"/>
      <c r="AF137" s="321"/>
      <c r="AG137" s="321"/>
      <c r="AH137" s="321"/>
      <c r="AI137" s="321"/>
      <c r="AJ137" s="321"/>
      <c r="AK137" s="321"/>
      <c r="AL137" s="321"/>
      <c r="AM137" s="321"/>
      <c r="AN137" s="321"/>
      <c r="AO137" s="321"/>
      <c r="AP137" s="321"/>
      <c r="AQ137" s="188"/>
      <c r="AR137" s="321"/>
      <c r="AS137" s="188"/>
      <c r="AT137" s="292"/>
      <c r="AU137" s="188"/>
      <c r="AV137" s="188"/>
      <c r="AW137" s="321"/>
      <c r="AX137" s="188"/>
      <c r="AY137" s="292"/>
      <c r="AZ137" s="188"/>
      <c r="BA137" s="188"/>
      <c r="BB137" s="23"/>
    </row>
    <row r="138" spans="1:54" ht="15.75">
      <c r="A138" s="23"/>
      <c r="B138" s="22"/>
      <c r="C138" s="23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321"/>
      <c r="AE138" s="321"/>
      <c r="AF138" s="321"/>
      <c r="AG138" s="321"/>
      <c r="AH138" s="321"/>
      <c r="AI138" s="321"/>
      <c r="AJ138" s="321"/>
      <c r="AK138" s="321"/>
      <c r="AL138" s="321"/>
      <c r="AM138" s="321"/>
      <c r="AN138" s="321"/>
      <c r="AO138" s="321"/>
      <c r="AP138" s="321"/>
      <c r="AQ138" s="188"/>
      <c r="AR138" s="321"/>
      <c r="AS138" s="188"/>
      <c r="AT138" s="292"/>
      <c r="AU138" s="188"/>
      <c r="AV138" s="188"/>
      <c r="AW138" s="321"/>
      <c r="AX138" s="188"/>
      <c r="AY138" s="292"/>
      <c r="AZ138" s="188"/>
      <c r="BA138" s="188"/>
      <c r="BB138" s="23"/>
    </row>
    <row r="139" spans="1:54" ht="15.75">
      <c r="A139" s="23"/>
      <c r="B139" s="22"/>
      <c r="C139" s="23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321"/>
      <c r="AE139" s="321"/>
      <c r="AF139" s="321"/>
      <c r="AG139" s="321"/>
      <c r="AH139" s="321"/>
      <c r="AI139" s="321"/>
      <c r="AJ139" s="321"/>
      <c r="AK139" s="321"/>
      <c r="AL139" s="321"/>
      <c r="AM139" s="321"/>
      <c r="AN139" s="321"/>
      <c r="AO139" s="321"/>
      <c r="AP139" s="321"/>
      <c r="AQ139" s="188"/>
      <c r="AR139" s="321"/>
      <c r="AS139" s="188"/>
      <c r="AT139" s="292"/>
      <c r="AU139" s="188"/>
      <c r="AV139" s="188"/>
      <c r="AW139" s="321"/>
      <c r="AX139" s="188"/>
      <c r="AY139" s="292"/>
      <c r="AZ139" s="188"/>
      <c r="BA139" s="188"/>
      <c r="BB139" s="23"/>
    </row>
    <row r="140" spans="1:54" ht="15.75">
      <c r="A140" s="23"/>
      <c r="B140" s="22"/>
      <c r="C140" s="23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21"/>
      <c r="AP140" s="321"/>
      <c r="AQ140" s="188"/>
      <c r="AR140" s="321"/>
      <c r="AS140" s="188"/>
      <c r="AT140" s="292"/>
      <c r="AU140" s="188"/>
      <c r="AV140" s="188"/>
      <c r="AW140" s="321"/>
      <c r="AX140" s="188"/>
      <c r="AY140" s="292"/>
      <c r="AZ140" s="188"/>
      <c r="BA140" s="188"/>
      <c r="BB140" s="23"/>
    </row>
    <row r="141" spans="1:54" ht="15.75">
      <c r="A141" s="23"/>
      <c r="B141" s="22"/>
      <c r="C141" s="23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321"/>
      <c r="AP141" s="321"/>
      <c r="AQ141" s="188"/>
      <c r="AR141" s="321"/>
      <c r="AS141" s="188"/>
      <c r="AT141" s="292"/>
      <c r="AU141" s="188"/>
      <c r="AV141" s="188"/>
      <c r="AW141" s="321"/>
      <c r="AX141" s="188"/>
      <c r="AY141" s="292"/>
      <c r="AZ141" s="188"/>
      <c r="BA141" s="188"/>
      <c r="BB141" s="23"/>
    </row>
    <row r="142" spans="1:54" ht="15.75">
      <c r="A142" s="23"/>
      <c r="B142" s="22"/>
      <c r="C142" s="23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321"/>
      <c r="AE142" s="321"/>
      <c r="AF142" s="321"/>
      <c r="AG142" s="321"/>
      <c r="AH142" s="321"/>
      <c r="AI142" s="321"/>
      <c r="AJ142" s="321"/>
      <c r="AK142" s="321"/>
      <c r="AL142" s="321"/>
      <c r="AM142" s="321"/>
      <c r="AN142" s="321"/>
      <c r="AO142" s="321"/>
      <c r="AP142" s="321"/>
      <c r="AQ142" s="188"/>
      <c r="AR142" s="321"/>
      <c r="AS142" s="188"/>
      <c r="AT142" s="292"/>
      <c r="AU142" s="188"/>
      <c r="AV142" s="188"/>
      <c r="AW142" s="321"/>
      <c r="AX142" s="188"/>
      <c r="AY142" s="292"/>
      <c r="AZ142" s="188"/>
      <c r="BA142" s="188"/>
      <c r="BB142" s="23"/>
    </row>
  </sheetData>
  <sheetProtection selectLockedCells="1" selectUnlockedCells="1"/>
  <mergeCells count="26">
    <mergeCell ref="AW19:BA19"/>
    <mergeCell ref="AC16:BA17"/>
    <mergeCell ref="BB16:BB20"/>
    <mergeCell ref="AC18:BA18"/>
    <mergeCell ref="AR19:AV19"/>
    <mergeCell ref="AC19:AG19"/>
    <mergeCell ref="AH19:AL19"/>
    <mergeCell ref="AM19:AQ19"/>
    <mergeCell ref="A10:W10"/>
    <mergeCell ref="A12:BB12"/>
    <mergeCell ref="A13:AB13"/>
    <mergeCell ref="A15:BB15"/>
    <mergeCell ref="A16:A20"/>
    <mergeCell ref="B16:B20"/>
    <mergeCell ref="C16:C20"/>
    <mergeCell ref="D16:AB17"/>
    <mergeCell ref="D18:AB18"/>
    <mergeCell ref="X19:AB19"/>
    <mergeCell ref="D19:H19"/>
    <mergeCell ref="I19:M19"/>
    <mergeCell ref="N19:R19"/>
    <mergeCell ref="S19:W19"/>
    <mergeCell ref="A4:BB4"/>
    <mergeCell ref="A6:BB6"/>
    <mergeCell ref="A7:BB7"/>
    <mergeCell ref="A9:BB9"/>
  </mergeCells>
  <dataValidations count="1">
    <dataValidation type="textLength" operator="lessThanOrEqual" allowBlank="1" showErrorMessage="1" errorTitle="Ошибка" error="Допускается ввод не более 900 символов!" sqref="B24 B35:B51 B53:B59 B61:B72 B74:B77 B79">
      <formula1>900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9" scale="2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84"/>
  <sheetViews>
    <sheetView tabSelected="1" view="pageBreakPreview" zoomScaleNormal="85" zoomScaleSheetLayoutView="100" zoomScalePageLayoutView="0" workbookViewId="0" topLeftCell="B4">
      <pane xSplit="1" topLeftCell="AH2" activePane="topRight" state="frozen"/>
      <selection pane="topLeft" activeCell="B13" sqref="B13"/>
      <selection pane="topRight" activeCell="AT26" sqref="AT26"/>
    </sheetView>
  </sheetViews>
  <sheetFormatPr defaultColWidth="9.8515625" defaultRowHeight="12.75"/>
  <cols>
    <col min="1" max="1" width="10.8515625" style="1" customWidth="1"/>
    <col min="2" max="2" width="44.57421875" style="2" customWidth="1"/>
    <col min="3" max="3" width="12.7109375" style="1" customWidth="1"/>
    <col min="4" max="4" width="7.28125" style="187" customWidth="1"/>
    <col min="5" max="5" width="8.00390625" style="187" customWidth="1"/>
    <col min="6" max="6" width="7.7109375" style="187" customWidth="1"/>
    <col min="7" max="8" width="7.28125" style="187" customWidth="1"/>
    <col min="9" max="10" width="8.00390625" style="187" customWidth="1"/>
    <col min="11" max="12" width="7.421875" style="187" customWidth="1"/>
    <col min="13" max="13" width="7.7109375" style="187" customWidth="1"/>
    <col min="14" max="15" width="7.28125" style="187" customWidth="1"/>
    <col min="16" max="20" width="7.421875" style="187" customWidth="1"/>
    <col min="21" max="22" width="7.28125" style="187" customWidth="1"/>
    <col min="23" max="27" width="8.28125" style="187" customWidth="1"/>
    <col min="28" max="29" width="7.28125" style="187" customWidth="1"/>
    <col min="30" max="34" width="7.7109375" style="187" customWidth="1"/>
    <col min="35" max="36" width="7.28125" style="293" customWidth="1"/>
    <col min="37" max="41" width="7.00390625" style="293" customWidth="1"/>
    <col min="42" max="43" width="7.28125" style="293" customWidth="1"/>
    <col min="44" max="48" width="8.140625" style="293" customWidth="1"/>
    <col min="49" max="50" width="7.28125" style="293" customWidth="1"/>
    <col min="51" max="54" width="6.8515625" style="293" customWidth="1"/>
    <col min="55" max="55" width="6.421875" style="293" customWidth="1"/>
    <col min="56" max="56" width="6.8515625" style="293" customWidth="1"/>
    <col min="57" max="57" width="6.57421875" style="293" customWidth="1"/>
    <col min="58" max="58" width="7.28125" style="293" customWidth="1"/>
    <col min="59" max="59" width="7.00390625" style="293" customWidth="1"/>
    <col min="60" max="60" width="6.8515625" style="298" customWidth="1"/>
    <col min="61" max="61" width="6.57421875" style="298" customWidth="1"/>
    <col min="62" max="62" width="7.140625" style="298" customWidth="1"/>
    <col min="63" max="63" width="7.57421875" style="293" customWidth="1"/>
    <col min="64" max="64" width="7.28125" style="289" customWidth="1"/>
    <col min="65" max="67" width="7.140625" style="293" customWidth="1"/>
    <col min="68" max="68" width="9.57421875" style="187" customWidth="1"/>
    <col min="69" max="69" width="8.28125" style="187" customWidth="1"/>
    <col min="70" max="70" width="7.28125" style="187" customWidth="1"/>
    <col min="71" max="71" width="7.28125" style="291" customWidth="1"/>
    <col min="72" max="72" width="8.421875" style="187" customWidth="1"/>
    <col min="73" max="73" width="9.00390625" style="187" customWidth="1"/>
    <col min="74" max="74" width="28.140625" style="237" customWidth="1"/>
    <col min="75" max="16384" width="9.8515625" style="155" customWidth="1"/>
  </cols>
  <sheetData>
    <row r="1" spans="1:74" ht="18.75">
      <c r="A1" s="90" t="s">
        <v>0</v>
      </c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BP1" s="188"/>
      <c r="BQ1" s="188"/>
      <c r="BR1" s="188"/>
      <c r="BS1" s="292"/>
      <c r="BT1" s="188"/>
      <c r="BU1" s="188"/>
      <c r="BV1" s="238" t="s">
        <v>245</v>
      </c>
    </row>
    <row r="2" spans="23:74" ht="18.75"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BP2" s="188"/>
      <c r="BQ2" s="188"/>
      <c r="BR2" s="188"/>
      <c r="BS2" s="292"/>
      <c r="BT2" s="188"/>
      <c r="BU2" s="188"/>
      <c r="BV2" s="238" t="s">
        <v>2</v>
      </c>
    </row>
    <row r="3" spans="23:74" ht="18.75"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BP3" s="188"/>
      <c r="BQ3" s="188"/>
      <c r="BR3" s="188"/>
      <c r="BS3" s="292"/>
      <c r="BT3" s="188"/>
      <c r="BU3" s="188"/>
      <c r="BV3" s="238" t="s">
        <v>3</v>
      </c>
    </row>
    <row r="4" spans="1:74" s="7" customFormat="1" ht="18.75">
      <c r="A4" s="345" t="s">
        <v>212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</row>
    <row r="5" spans="1:71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99"/>
      <c r="BI5" s="299"/>
      <c r="BJ5" s="299"/>
      <c r="BK5" s="281"/>
      <c r="BL5" s="279"/>
      <c r="BM5" s="281"/>
      <c r="BN5" s="281"/>
      <c r="BO5" s="281"/>
      <c r="BS5" s="278"/>
    </row>
    <row r="6" spans="1:74" s="7" customFormat="1" ht="18.75" customHeight="1">
      <c r="A6" s="346" t="s">
        <v>257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</row>
    <row r="7" spans="1:74" s="7" customFormat="1" ht="18.75" customHeight="1">
      <c r="A7" s="346" t="s">
        <v>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</row>
    <row r="8" spans="1:74" s="7" customFormat="1" ht="18.75">
      <c r="A8" s="12"/>
      <c r="B8" s="221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41"/>
      <c r="BQ8" s="41"/>
      <c r="BR8" s="41"/>
      <c r="BS8" s="335"/>
      <c r="BT8" s="41"/>
      <c r="BU8" s="41"/>
      <c r="BV8" s="41"/>
    </row>
    <row r="9" spans="1:74" s="7" customFormat="1" ht="15.75">
      <c r="A9" s="370" t="s">
        <v>146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</row>
    <row r="10" spans="1:74" s="7" customFormat="1" ht="15.7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41"/>
      <c r="BQ10" s="41"/>
      <c r="BR10" s="41"/>
      <c r="BS10" s="335"/>
      <c r="BT10" s="41"/>
      <c r="BU10" s="41"/>
      <c r="BV10" s="41"/>
    </row>
    <row r="11" spans="1:74" s="7" customFormat="1" ht="15.75">
      <c r="A11" s="320"/>
      <c r="B11" s="336"/>
      <c r="C11" s="320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41"/>
      <c r="BQ11" s="41"/>
      <c r="BR11" s="41"/>
      <c r="BS11" s="335"/>
      <c r="BT11" s="41"/>
      <c r="BU11" s="41"/>
      <c r="BV11" s="41"/>
    </row>
    <row r="12" spans="1:74" s="7" customFormat="1" ht="18.7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</row>
    <row r="13" spans="1:74" ht="15.75">
      <c r="A13" s="374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6"/>
      <c r="BQ13" s="316"/>
      <c r="BR13" s="316"/>
      <c r="BS13" s="319"/>
      <c r="BT13" s="316"/>
      <c r="BU13" s="316"/>
      <c r="BV13" s="337"/>
    </row>
    <row r="14" spans="1:74" ht="15.75">
      <c r="A14" s="23"/>
      <c r="B14" s="22"/>
      <c r="C14" s="23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223"/>
      <c r="AF14" s="223"/>
      <c r="AG14" s="223"/>
      <c r="AH14" s="223"/>
      <c r="AI14" s="338"/>
      <c r="AJ14" s="338"/>
      <c r="AK14" s="338"/>
      <c r="AL14" s="338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188"/>
      <c r="BQ14" s="188"/>
      <c r="BR14" s="188"/>
      <c r="BS14" s="292"/>
      <c r="BT14" s="188"/>
      <c r="BU14" s="188"/>
      <c r="BV14" s="239"/>
    </row>
    <row r="15" spans="1:74" ht="39" customHeight="1">
      <c r="A15" s="363" t="s">
        <v>246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</row>
    <row r="16" spans="1:74" ht="15.75" customHeight="1">
      <c r="A16" s="364" t="s">
        <v>8</v>
      </c>
      <c r="B16" s="365" t="s">
        <v>9</v>
      </c>
      <c r="C16" s="365" t="s">
        <v>10</v>
      </c>
      <c r="D16" s="376" t="s">
        <v>247</v>
      </c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7" t="s">
        <v>247</v>
      </c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48" t="s">
        <v>228</v>
      </c>
    </row>
    <row r="17" spans="1:74" ht="15.75" customHeight="1">
      <c r="A17" s="364"/>
      <c r="B17" s="365"/>
      <c r="C17" s="365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48"/>
    </row>
    <row r="18" spans="1:74" ht="15.75" customHeight="1">
      <c r="A18" s="364"/>
      <c r="B18" s="365"/>
      <c r="C18" s="365"/>
      <c r="D18" s="371" t="s">
        <v>30</v>
      </c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 t="s">
        <v>31</v>
      </c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48"/>
    </row>
    <row r="19" spans="1:74" ht="30" customHeight="1">
      <c r="A19" s="364"/>
      <c r="B19" s="365"/>
      <c r="C19" s="365"/>
      <c r="D19" s="371" t="s">
        <v>20</v>
      </c>
      <c r="E19" s="371"/>
      <c r="F19" s="371"/>
      <c r="G19" s="371"/>
      <c r="H19" s="371"/>
      <c r="I19" s="371"/>
      <c r="J19" s="371"/>
      <c r="K19" s="371" t="s">
        <v>21</v>
      </c>
      <c r="L19" s="371"/>
      <c r="M19" s="371"/>
      <c r="N19" s="371"/>
      <c r="O19" s="371"/>
      <c r="P19" s="371"/>
      <c r="Q19" s="371"/>
      <c r="R19" s="371" t="s">
        <v>22</v>
      </c>
      <c r="S19" s="371"/>
      <c r="T19" s="371"/>
      <c r="U19" s="371"/>
      <c r="V19" s="371"/>
      <c r="W19" s="371"/>
      <c r="X19" s="371"/>
      <c r="Y19" s="371" t="s">
        <v>23</v>
      </c>
      <c r="Z19" s="371"/>
      <c r="AA19" s="371"/>
      <c r="AB19" s="371"/>
      <c r="AC19" s="371"/>
      <c r="AD19" s="371"/>
      <c r="AE19" s="371"/>
      <c r="AF19" s="371" t="s">
        <v>24</v>
      </c>
      <c r="AG19" s="371"/>
      <c r="AH19" s="371"/>
      <c r="AI19" s="371"/>
      <c r="AJ19" s="371"/>
      <c r="AK19" s="371"/>
      <c r="AL19" s="371"/>
      <c r="AM19" s="378" t="s">
        <v>20</v>
      </c>
      <c r="AN19" s="378"/>
      <c r="AO19" s="378"/>
      <c r="AP19" s="378"/>
      <c r="AQ19" s="378"/>
      <c r="AR19" s="378"/>
      <c r="AS19" s="378"/>
      <c r="AT19" s="378" t="s">
        <v>21</v>
      </c>
      <c r="AU19" s="378"/>
      <c r="AV19" s="378"/>
      <c r="AW19" s="378"/>
      <c r="AX19" s="378"/>
      <c r="AY19" s="378"/>
      <c r="AZ19" s="378"/>
      <c r="BA19" s="378" t="s">
        <v>22</v>
      </c>
      <c r="BB19" s="378"/>
      <c r="BC19" s="378"/>
      <c r="BD19" s="378"/>
      <c r="BE19" s="378"/>
      <c r="BF19" s="378"/>
      <c r="BG19" s="378"/>
      <c r="BH19" s="375" t="s">
        <v>23</v>
      </c>
      <c r="BI19" s="375"/>
      <c r="BJ19" s="375"/>
      <c r="BK19" s="375"/>
      <c r="BL19" s="375"/>
      <c r="BM19" s="375"/>
      <c r="BN19" s="375"/>
      <c r="BO19" s="371" t="s">
        <v>24</v>
      </c>
      <c r="BP19" s="371"/>
      <c r="BQ19" s="371"/>
      <c r="BR19" s="371"/>
      <c r="BS19" s="371"/>
      <c r="BT19" s="371"/>
      <c r="BU19" s="371"/>
      <c r="BV19" s="348"/>
    </row>
    <row r="20" spans="1:74" s="182" customFormat="1" ht="60.75" customHeight="1">
      <c r="A20" s="364"/>
      <c r="B20" s="365"/>
      <c r="C20" s="365"/>
      <c r="D20" s="225" t="s">
        <v>234</v>
      </c>
      <c r="E20" s="225" t="s">
        <v>235</v>
      </c>
      <c r="F20" s="225" t="s">
        <v>248</v>
      </c>
      <c r="G20" s="225" t="s">
        <v>249</v>
      </c>
      <c r="H20" s="225" t="s">
        <v>250</v>
      </c>
      <c r="I20" s="225" t="s">
        <v>237</v>
      </c>
      <c r="J20" s="224" t="s">
        <v>238</v>
      </c>
      <c r="K20" s="225" t="s">
        <v>234</v>
      </c>
      <c r="L20" s="225" t="s">
        <v>235</v>
      </c>
      <c r="M20" s="225" t="s">
        <v>248</v>
      </c>
      <c r="N20" s="225" t="s">
        <v>249</v>
      </c>
      <c r="O20" s="225" t="s">
        <v>250</v>
      </c>
      <c r="P20" s="225" t="s">
        <v>237</v>
      </c>
      <c r="Q20" s="224" t="s">
        <v>238</v>
      </c>
      <c r="R20" s="225" t="s">
        <v>234</v>
      </c>
      <c r="S20" s="225" t="s">
        <v>235</v>
      </c>
      <c r="T20" s="225" t="s">
        <v>248</v>
      </c>
      <c r="U20" s="225" t="s">
        <v>249</v>
      </c>
      <c r="V20" s="225" t="s">
        <v>250</v>
      </c>
      <c r="W20" s="225" t="s">
        <v>237</v>
      </c>
      <c r="X20" s="224" t="s">
        <v>238</v>
      </c>
      <c r="Y20" s="225" t="s">
        <v>234</v>
      </c>
      <c r="Z20" s="225" t="s">
        <v>235</v>
      </c>
      <c r="AA20" s="225" t="s">
        <v>248</v>
      </c>
      <c r="AB20" s="225" t="s">
        <v>249</v>
      </c>
      <c r="AC20" s="225" t="s">
        <v>250</v>
      </c>
      <c r="AD20" s="225" t="s">
        <v>237</v>
      </c>
      <c r="AE20" s="224" t="s">
        <v>238</v>
      </c>
      <c r="AF20" s="225" t="s">
        <v>234</v>
      </c>
      <c r="AG20" s="225" t="s">
        <v>235</v>
      </c>
      <c r="AH20" s="225" t="s">
        <v>248</v>
      </c>
      <c r="AI20" s="294" t="s">
        <v>249</v>
      </c>
      <c r="AJ20" s="294" t="s">
        <v>250</v>
      </c>
      <c r="AK20" s="294" t="s">
        <v>237</v>
      </c>
      <c r="AL20" s="296" t="s">
        <v>238</v>
      </c>
      <c r="AM20" s="294" t="s">
        <v>234</v>
      </c>
      <c r="AN20" s="294" t="s">
        <v>235</v>
      </c>
      <c r="AO20" s="294" t="s">
        <v>248</v>
      </c>
      <c r="AP20" s="294" t="s">
        <v>249</v>
      </c>
      <c r="AQ20" s="294" t="s">
        <v>250</v>
      </c>
      <c r="AR20" s="294" t="s">
        <v>237</v>
      </c>
      <c r="AS20" s="296" t="s">
        <v>238</v>
      </c>
      <c r="AT20" s="294" t="s">
        <v>234</v>
      </c>
      <c r="AU20" s="294" t="s">
        <v>235</v>
      </c>
      <c r="AV20" s="294" t="s">
        <v>248</v>
      </c>
      <c r="AW20" s="294" t="s">
        <v>249</v>
      </c>
      <c r="AX20" s="294" t="s">
        <v>250</v>
      </c>
      <c r="AY20" s="294" t="s">
        <v>237</v>
      </c>
      <c r="AZ20" s="296" t="s">
        <v>238</v>
      </c>
      <c r="BA20" s="294" t="s">
        <v>234</v>
      </c>
      <c r="BB20" s="294" t="s">
        <v>235</v>
      </c>
      <c r="BC20" s="294" t="s">
        <v>248</v>
      </c>
      <c r="BD20" s="294" t="s">
        <v>249</v>
      </c>
      <c r="BE20" s="294" t="s">
        <v>250</v>
      </c>
      <c r="BF20" s="294" t="s">
        <v>237</v>
      </c>
      <c r="BG20" s="296" t="s">
        <v>238</v>
      </c>
      <c r="BH20" s="323" t="s">
        <v>234</v>
      </c>
      <c r="BI20" s="323" t="s">
        <v>235</v>
      </c>
      <c r="BJ20" s="323" t="s">
        <v>248</v>
      </c>
      <c r="BK20" s="323" t="s">
        <v>249</v>
      </c>
      <c r="BL20" s="323" t="s">
        <v>250</v>
      </c>
      <c r="BM20" s="323" t="s">
        <v>237</v>
      </c>
      <c r="BN20" s="322" t="s">
        <v>238</v>
      </c>
      <c r="BO20" s="294" t="s">
        <v>234</v>
      </c>
      <c r="BP20" s="225" t="s">
        <v>235</v>
      </c>
      <c r="BQ20" s="225" t="s">
        <v>248</v>
      </c>
      <c r="BR20" s="225" t="s">
        <v>249</v>
      </c>
      <c r="BS20" s="323" t="s">
        <v>250</v>
      </c>
      <c r="BT20" s="225" t="s">
        <v>237</v>
      </c>
      <c r="BU20" s="224" t="s">
        <v>238</v>
      </c>
      <c r="BV20" s="348"/>
    </row>
    <row r="21" spans="1:76" s="182" customFormat="1" ht="15.75">
      <c r="A21" s="207">
        <v>1</v>
      </c>
      <c r="B21" s="271">
        <v>2</v>
      </c>
      <c r="C21" s="272">
        <v>3</v>
      </c>
      <c r="D21" s="273">
        <v>4</v>
      </c>
      <c r="E21" s="273">
        <v>5</v>
      </c>
      <c r="F21" s="273">
        <v>6</v>
      </c>
      <c r="G21" s="273">
        <v>7</v>
      </c>
      <c r="H21" s="273">
        <v>8</v>
      </c>
      <c r="I21" s="273">
        <v>9</v>
      </c>
      <c r="J21" s="273">
        <v>10</v>
      </c>
      <c r="K21" s="273">
        <v>11</v>
      </c>
      <c r="L21" s="273">
        <v>12</v>
      </c>
      <c r="M21" s="273">
        <v>13</v>
      </c>
      <c r="N21" s="273">
        <v>14</v>
      </c>
      <c r="O21" s="273">
        <v>15</v>
      </c>
      <c r="P21" s="273">
        <v>16</v>
      </c>
      <c r="Q21" s="273">
        <v>17</v>
      </c>
      <c r="R21" s="273">
        <v>18</v>
      </c>
      <c r="S21" s="273">
        <v>19</v>
      </c>
      <c r="T21" s="273">
        <v>20</v>
      </c>
      <c r="U21" s="273">
        <v>21</v>
      </c>
      <c r="V21" s="273">
        <v>22</v>
      </c>
      <c r="W21" s="273">
        <v>23</v>
      </c>
      <c r="X21" s="273">
        <v>24</v>
      </c>
      <c r="Y21" s="273">
        <v>25</v>
      </c>
      <c r="Z21" s="273">
        <v>26</v>
      </c>
      <c r="AA21" s="273">
        <v>27</v>
      </c>
      <c r="AB21" s="273">
        <v>28</v>
      </c>
      <c r="AC21" s="273">
        <v>29</v>
      </c>
      <c r="AD21" s="273">
        <v>30</v>
      </c>
      <c r="AE21" s="273">
        <v>31</v>
      </c>
      <c r="AF21" s="273">
        <v>32</v>
      </c>
      <c r="AG21" s="273">
        <v>33</v>
      </c>
      <c r="AH21" s="273">
        <v>34</v>
      </c>
      <c r="AI21" s="297">
        <v>35</v>
      </c>
      <c r="AJ21" s="297">
        <v>36</v>
      </c>
      <c r="AK21" s="297">
        <v>37</v>
      </c>
      <c r="AL21" s="297">
        <v>38</v>
      </c>
      <c r="AM21" s="297">
        <v>39</v>
      </c>
      <c r="AN21" s="297">
        <v>40</v>
      </c>
      <c r="AO21" s="297">
        <v>41</v>
      </c>
      <c r="AP21" s="297">
        <v>42</v>
      </c>
      <c r="AQ21" s="297">
        <v>43</v>
      </c>
      <c r="AR21" s="297">
        <v>44</v>
      </c>
      <c r="AS21" s="297">
        <v>45</v>
      </c>
      <c r="AT21" s="297">
        <v>46</v>
      </c>
      <c r="AU21" s="297">
        <v>47</v>
      </c>
      <c r="AV21" s="297">
        <v>48</v>
      </c>
      <c r="AW21" s="297">
        <v>49</v>
      </c>
      <c r="AX21" s="297">
        <v>50</v>
      </c>
      <c r="AY21" s="297">
        <v>51</v>
      </c>
      <c r="AZ21" s="297">
        <v>52</v>
      </c>
      <c r="BA21" s="297">
        <v>53</v>
      </c>
      <c r="BB21" s="297">
        <v>54</v>
      </c>
      <c r="BC21" s="297">
        <v>55</v>
      </c>
      <c r="BD21" s="297">
        <v>56</v>
      </c>
      <c r="BE21" s="297">
        <v>57</v>
      </c>
      <c r="BF21" s="297">
        <v>58</v>
      </c>
      <c r="BG21" s="297">
        <v>59</v>
      </c>
      <c r="BH21" s="325">
        <v>60</v>
      </c>
      <c r="BI21" s="325">
        <v>61</v>
      </c>
      <c r="BJ21" s="325">
        <v>62</v>
      </c>
      <c r="BK21" s="325">
        <v>63</v>
      </c>
      <c r="BL21" s="325">
        <v>64</v>
      </c>
      <c r="BM21" s="325">
        <v>65</v>
      </c>
      <c r="BN21" s="325">
        <v>66</v>
      </c>
      <c r="BO21" s="297">
        <v>67</v>
      </c>
      <c r="BP21" s="273">
        <v>68</v>
      </c>
      <c r="BQ21" s="273">
        <v>69</v>
      </c>
      <c r="BR21" s="273">
        <v>70</v>
      </c>
      <c r="BS21" s="325">
        <v>71</v>
      </c>
      <c r="BT21" s="273">
        <v>72</v>
      </c>
      <c r="BU21" s="273">
        <v>73</v>
      </c>
      <c r="BV21" s="272">
        <v>74</v>
      </c>
      <c r="BX21" s="240"/>
    </row>
    <row r="22" spans="1:77" s="242" customFormat="1" ht="31.5">
      <c r="A22" s="32"/>
      <c r="B22" s="228" t="s">
        <v>32</v>
      </c>
      <c r="C22" s="268"/>
      <c r="D22" s="241">
        <f aca="true" t="shared" si="0" ref="D22:AI22">D23+D33+D76</f>
        <v>0</v>
      </c>
      <c r="E22" s="241">
        <f t="shared" si="0"/>
        <v>0</v>
      </c>
      <c r="F22" s="241">
        <f t="shared" si="0"/>
        <v>0</v>
      </c>
      <c r="G22" s="241">
        <f t="shared" si="0"/>
        <v>0</v>
      </c>
      <c r="H22" s="241">
        <f t="shared" si="0"/>
        <v>0</v>
      </c>
      <c r="I22" s="241">
        <f t="shared" si="0"/>
        <v>0</v>
      </c>
      <c r="J22" s="241">
        <f t="shared" si="0"/>
        <v>0</v>
      </c>
      <c r="K22" s="241">
        <f t="shared" si="0"/>
        <v>0</v>
      </c>
      <c r="L22" s="241">
        <f t="shared" si="0"/>
        <v>0</v>
      </c>
      <c r="M22" s="241">
        <f t="shared" si="0"/>
        <v>0</v>
      </c>
      <c r="N22" s="241">
        <f t="shared" si="0"/>
        <v>0</v>
      </c>
      <c r="O22" s="241">
        <f t="shared" si="0"/>
        <v>0</v>
      </c>
      <c r="P22" s="241">
        <f t="shared" si="0"/>
        <v>0</v>
      </c>
      <c r="Q22" s="241">
        <f t="shared" si="0"/>
        <v>0</v>
      </c>
      <c r="R22" s="241">
        <f t="shared" si="0"/>
        <v>0</v>
      </c>
      <c r="S22" s="241">
        <f t="shared" si="0"/>
        <v>0</v>
      </c>
      <c r="T22" s="241">
        <f t="shared" si="0"/>
        <v>0</v>
      </c>
      <c r="U22" s="241">
        <f t="shared" si="0"/>
        <v>0</v>
      </c>
      <c r="V22" s="241">
        <f t="shared" si="0"/>
        <v>0</v>
      </c>
      <c r="W22" s="241">
        <f t="shared" si="0"/>
        <v>0</v>
      </c>
      <c r="X22" s="241">
        <f t="shared" si="0"/>
        <v>0</v>
      </c>
      <c r="Y22" s="241">
        <f t="shared" si="0"/>
        <v>0</v>
      </c>
      <c r="Z22" s="241">
        <f t="shared" si="0"/>
        <v>0</v>
      </c>
      <c r="AA22" s="241">
        <f t="shared" si="0"/>
        <v>0</v>
      </c>
      <c r="AB22" s="241">
        <f t="shared" si="0"/>
        <v>0</v>
      </c>
      <c r="AC22" s="241">
        <f t="shared" si="0"/>
        <v>0</v>
      </c>
      <c r="AD22" s="241">
        <f t="shared" si="0"/>
        <v>0</v>
      </c>
      <c r="AE22" s="241">
        <f t="shared" si="0"/>
        <v>0</v>
      </c>
      <c r="AF22" s="241">
        <f t="shared" si="0"/>
        <v>0</v>
      </c>
      <c r="AG22" s="241">
        <f t="shared" si="0"/>
        <v>0</v>
      </c>
      <c r="AH22" s="241">
        <f t="shared" si="0"/>
        <v>0</v>
      </c>
      <c r="AI22" s="300">
        <f t="shared" si="0"/>
        <v>0</v>
      </c>
      <c r="AJ22" s="300">
        <f aca="true" t="shared" si="1" ref="AJ22:BO22">AJ23+AJ33+AJ76</f>
        <v>0</v>
      </c>
      <c r="AK22" s="300">
        <f t="shared" si="1"/>
        <v>0</v>
      </c>
      <c r="AL22" s="300">
        <f t="shared" si="1"/>
        <v>0</v>
      </c>
      <c r="AM22" s="300">
        <f t="shared" si="1"/>
        <v>7.75</v>
      </c>
      <c r="AN22" s="300">
        <f t="shared" si="1"/>
        <v>0</v>
      </c>
      <c r="AO22" s="300">
        <f t="shared" si="1"/>
        <v>0</v>
      </c>
      <c r="AP22" s="300">
        <f t="shared" si="1"/>
        <v>0</v>
      </c>
      <c r="AQ22" s="300">
        <f t="shared" si="1"/>
        <v>16.0616</v>
      </c>
      <c r="AR22" s="300">
        <f t="shared" si="1"/>
        <v>0</v>
      </c>
      <c r="AS22" s="300">
        <f t="shared" si="1"/>
        <v>0</v>
      </c>
      <c r="AT22" s="300">
        <f t="shared" si="1"/>
        <v>0</v>
      </c>
      <c r="AU22" s="300">
        <f t="shared" si="1"/>
        <v>0</v>
      </c>
      <c r="AV22" s="300">
        <f t="shared" si="1"/>
        <v>0</v>
      </c>
      <c r="AW22" s="300">
        <f t="shared" si="1"/>
        <v>0</v>
      </c>
      <c r="AX22" s="300">
        <f t="shared" si="1"/>
        <v>0.125</v>
      </c>
      <c r="AY22" s="300">
        <f t="shared" si="1"/>
        <v>0</v>
      </c>
      <c r="AZ22" s="300">
        <f t="shared" si="1"/>
        <v>0</v>
      </c>
      <c r="BA22" s="300">
        <f t="shared" si="1"/>
        <v>0.85</v>
      </c>
      <c r="BB22" s="300">
        <f t="shared" si="1"/>
        <v>0</v>
      </c>
      <c r="BC22" s="300">
        <f t="shared" si="1"/>
        <v>0</v>
      </c>
      <c r="BD22" s="300">
        <f t="shared" si="1"/>
        <v>0</v>
      </c>
      <c r="BE22" s="300">
        <f t="shared" si="1"/>
        <v>0.83</v>
      </c>
      <c r="BF22" s="300">
        <f t="shared" si="1"/>
        <v>0</v>
      </c>
      <c r="BG22" s="300">
        <f t="shared" si="1"/>
        <v>0</v>
      </c>
      <c r="BH22" s="339">
        <f t="shared" si="1"/>
        <v>5.87</v>
      </c>
      <c r="BI22" s="339">
        <f t="shared" si="1"/>
        <v>0</v>
      </c>
      <c r="BJ22" s="339">
        <f t="shared" si="1"/>
        <v>0</v>
      </c>
      <c r="BK22" s="339">
        <f t="shared" si="1"/>
        <v>0</v>
      </c>
      <c r="BL22" s="339">
        <f t="shared" si="1"/>
        <v>11.626999999999999</v>
      </c>
      <c r="BM22" s="339">
        <f t="shared" si="1"/>
        <v>0</v>
      </c>
      <c r="BN22" s="339">
        <f t="shared" si="1"/>
        <v>0</v>
      </c>
      <c r="BO22" s="300">
        <f t="shared" si="1"/>
        <v>1.03</v>
      </c>
      <c r="BP22" s="241">
        <f aca="true" t="shared" si="2" ref="BP22:BU22">BP23+BP33+BP76</f>
        <v>0</v>
      </c>
      <c r="BQ22" s="241">
        <f t="shared" si="2"/>
        <v>0</v>
      </c>
      <c r="BR22" s="241">
        <f t="shared" si="2"/>
        <v>0</v>
      </c>
      <c r="BS22" s="339">
        <f t="shared" si="2"/>
        <v>3.4796</v>
      </c>
      <c r="BT22" s="241">
        <f t="shared" si="2"/>
        <v>0</v>
      </c>
      <c r="BU22" s="241">
        <f t="shared" si="2"/>
        <v>0</v>
      </c>
      <c r="BV22" s="272"/>
      <c r="BX22" s="240"/>
      <c r="BY22" s="243"/>
    </row>
    <row r="23" spans="1:77" s="246" customFormat="1" ht="18.75">
      <c r="A23" s="135" t="s">
        <v>34</v>
      </c>
      <c r="B23" s="230" t="s">
        <v>35</v>
      </c>
      <c r="C23" s="275"/>
      <c r="D23" s="244">
        <f aca="true" t="shared" si="3" ref="D23:AL23">D24</f>
        <v>0</v>
      </c>
      <c r="E23" s="244">
        <f t="shared" si="3"/>
        <v>0</v>
      </c>
      <c r="F23" s="244">
        <f t="shared" si="3"/>
        <v>0</v>
      </c>
      <c r="G23" s="244">
        <f t="shared" si="3"/>
        <v>0</v>
      </c>
      <c r="H23" s="244">
        <f t="shared" si="3"/>
        <v>0</v>
      </c>
      <c r="I23" s="244">
        <f t="shared" si="3"/>
        <v>0</v>
      </c>
      <c r="J23" s="244">
        <f t="shared" si="3"/>
        <v>0</v>
      </c>
      <c r="K23" s="244">
        <f t="shared" si="3"/>
        <v>0</v>
      </c>
      <c r="L23" s="244">
        <f t="shared" si="3"/>
        <v>0</v>
      </c>
      <c r="M23" s="244">
        <f t="shared" si="3"/>
        <v>0</v>
      </c>
      <c r="N23" s="244">
        <f t="shared" si="3"/>
        <v>0</v>
      </c>
      <c r="O23" s="244">
        <f t="shared" si="3"/>
        <v>0</v>
      </c>
      <c r="P23" s="244">
        <f t="shared" si="3"/>
        <v>0</v>
      </c>
      <c r="Q23" s="244">
        <f t="shared" si="3"/>
        <v>0</v>
      </c>
      <c r="R23" s="244">
        <f t="shared" si="3"/>
        <v>0</v>
      </c>
      <c r="S23" s="244">
        <f t="shared" si="3"/>
        <v>0</v>
      </c>
      <c r="T23" s="244">
        <f t="shared" si="3"/>
        <v>0</v>
      </c>
      <c r="U23" s="244">
        <f t="shared" si="3"/>
        <v>0</v>
      </c>
      <c r="V23" s="244">
        <f t="shared" si="3"/>
        <v>0</v>
      </c>
      <c r="W23" s="244">
        <f t="shared" si="3"/>
        <v>0</v>
      </c>
      <c r="X23" s="244">
        <f t="shared" si="3"/>
        <v>0</v>
      </c>
      <c r="Y23" s="244">
        <f t="shared" si="3"/>
        <v>0</v>
      </c>
      <c r="Z23" s="244">
        <f t="shared" si="3"/>
        <v>0</v>
      </c>
      <c r="AA23" s="244">
        <f t="shared" si="3"/>
        <v>0</v>
      </c>
      <c r="AB23" s="244">
        <f t="shared" si="3"/>
        <v>0</v>
      </c>
      <c r="AC23" s="244">
        <f t="shared" si="3"/>
        <v>0</v>
      </c>
      <c r="AD23" s="244">
        <f t="shared" si="3"/>
        <v>0</v>
      </c>
      <c r="AE23" s="244">
        <f t="shared" si="3"/>
        <v>0</v>
      </c>
      <c r="AF23" s="244">
        <f t="shared" si="3"/>
        <v>0</v>
      </c>
      <c r="AG23" s="244">
        <f t="shared" si="3"/>
        <v>0</v>
      </c>
      <c r="AH23" s="244">
        <f t="shared" si="3"/>
        <v>0</v>
      </c>
      <c r="AI23" s="301">
        <f t="shared" si="3"/>
        <v>0</v>
      </c>
      <c r="AJ23" s="301">
        <f t="shared" si="3"/>
        <v>0</v>
      </c>
      <c r="AK23" s="301">
        <f t="shared" si="3"/>
        <v>0</v>
      </c>
      <c r="AL23" s="301">
        <f t="shared" si="3"/>
        <v>0</v>
      </c>
      <c r="AM23" s="301">
        <f aca="true" t="shared" si="4" ref="AM23:AS23">AM24+AM25+AM26+AM27+AM28+AM29+AM30+AM31+AM32</f>
        <v>0</v>
      </c>
      <c r="AN23" s="301">
        <f t="shared" si="4"/>
        <v>0</v>
      </c>
      <c r="AO23" s="301">
        <f t="shared" si="4"/>
        <v>0</v>
      </c>
      <c r="AP23" s="301">
        <f t="shared" si="4"/>
        <v>0</v>
      </c>
      <c r="AQ23" s="301">
        <f t="shared" si="4"/>
        <v>2.8569999999999998</v>
      </c>
      <c r="AR23" s="301">
        <f t="shared" si="4"/>
        <v>0</v>
      </c>
      <c r="AS23" s="301">
        <f t="shared" si="4"/>
        <v>0</v>
      </c>
      <c r="AT23" s="301">
        <f aca="true" t="shared" si="5" ref="AT23:BR23">AT24</f>
        <v>0</v>
      </c>
      <c r="AU23" s="301">
        <f t="shared" si="5"/>
        <v>0</v>
      </c>
      <c r="AV23" s="301">
        <f t="shared" si="5"/>
        <v>0</v>
      </c>
      <c r="AW23" s="301">
        <f t="shared" si="5"/>
        <v>0</v>
      </c>
      <c r="AX23" s="301">
        <f t="shared" si="5"/>
        <v>0.1</v>
      </c>
      <c r="AY23" s="301">
        <f t="shared" si="5"/>
        <v>0</v>
      </c>
      <c r="AZ23" s="301">
        <f t="shared" si="5"/>
        <v>0</v>
      </c>
      <c r="BA23" s="301">
        <f t="shared" si="5"/>
        <v>0</v>
      </c>
      <c r="BB23" s="301">
        <f t="shared" si="5"/>
        <v>0</v>
      </c>
      <c r="BC23" s="301">
        <f t="shared" si="5"/>
        <v>0</v>
      </c>
      <c r="BD23" s="301">
        <f t="shared" si="5"/>
        <v>0</v>
      </c>
      <c r="BE23" s="301">
        <f t="shared" si="5"/>
        <v>0</v>
      </c>
      <c r="BF23" s="301">
        <f t="shared" si="5"/>
        <v>0</v>
      </c>
      <c r="BG23" s="301">
        <f t="shared" si="5"/>
        <v>0</v>
      </c>
      <c r="BH23" s="340">
        <f t="shared" si="5"/>
        <v>0</v>
      </c>
      <c r="BI23" s="340">
        <f t="shared" si="5"/>
        <v>0</v>
      </c>
      <c r="BJ23" s="340">
        <f t="shared" si="5"/>
        <v>0</v>
      </c>
      <c r="BK23" s="340">
        <f t="shared" si="5"/>
        <v>0</v>
      </c>
      <c r="BL23" s="340">
        <f>SUM(BL24:BL32)</f>
        <v>1.0070000000000001</v>
      </c>
      <c r="BM23" s="340">
        <f t="shared" si="5"/>
        <v>0</v>
      </c>
      <c r="BN23" s="340">
        <f t="shared" si="5"/>
        <v>0</v>
      </c>
      <c r="BO23" s="301">
        <f t="shared" si="5"/>
        <v>0</v>
      </c>
      <c r="BP23" s="244">
        <f t="shared" si="5"/>
        <v>0</v>
      </c>
      <c r="BQ23" s="244">
        <f t="shared" si="5"/>
        <v>0</v>
      </c>
      <c r="BR23" s="244">
        <f t="shared" si="5"/>
        <v>0</v>
      </c>
      <c r="BS23" s="301">
        <f>SUM(BS24:BS32)</f>
        <v>1.75</v>
      </c>
      <c r="BT23" s="244">
        <f>BT24</f>
        <v>0</v>
      </c>
      <c r="BU23" s="244">
        <f>BU24</f>
        <v>0</v>
      </c>
      <c r="BV23" s="245"/>
      <c r="BX23" s="247"/>
      <c r="BY23" s="248"/>
    </row>
    <row r="24" spans="1:77" ht="89.25" customHeight="1">
      <c r="A24" s="45" t="s">
        <v>155</v>
      </c>
      <c r="B24" s="228" t="s">
        <v>195</v>
      </c>
      <c r="C24" s="268"/>
      <c r="D24" s="249">
        <f aca="true" t="shared" si="6" ref="D24:D32">K24+R24+Y24+AF24</f>
        <v>0</v>
      </c>
      <c r="E24" s="249">
        <f aca="true" t="shared" si="7" ref="E24:E32">L24+S24+Z24+AG24</f>
        <v>0</v>
      </c>
      <c r="F24" s="249">
        <f aca="true" t="shared" si="8" ref="F24:F32">M24+T24+AA24+AH24</f>
        <v>0</v>
      </c>
      <c r="G24" s="249">
        <f aca="true" t="shared" si="9" ref="G24:G32">N24+U24+AB24+AI24</f>
        <v>0</v>
      </c>
      <c r="H24" s="249">
        <f aca="true" t="shared" si="10" ref="H24:H32">O24+V24+AC24+AJ24</f>
        <v>0</v>
      </c>
      <c r="I24" s="249">
        <f aca="true" t="shared" si="11" ref="I24:I32">P24+W24+AD24+AK24</f>
        <v>0</v>
      </c>
      <c r="J24" s="249">
        <f aca="true" t="shared" si="12" ref="J24:J32">Q24+X24+AE24+AL24</f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302">
        <v>0</v>
      </c>
      <c r="AJ24" s="302">
        <v>0</v>
      </c>
      <c r="AK24" s="302">
        <v>0</v>
      </c>
      <c r="AL24" s="302">
        <v>0</v>
      </c>
      <c r="AM24" s="303">
        <f aca="true" t="shared" si="13" ref="AM24:AM32">AT24+BA24+BH24+BO24</f>
        <v>0</v>
      </c>
      <c r="AN24" s="303">
        <f aca="true" t="shared" si="14" ref="AN24:AN32">AU24+BB24+BI24+BP24</f>
        <v>0</v>
      </c>
      <c r="AO24" s="303">
        <f aca="true" t="shared" si="15" ref="AO24:AO32">AV24+BC24+BJ24+BQ24</f>
        <v>0</v>
      </c>
      <c r="AP24" s="303">
        <f aca="true" t="shared" si="16" ref="AP24:AP32">AW24+BD24+BK24+BR24</f>
        <v>0</v>
      </c>
      <c r="AQ24" s="303">
        <f aca="true" t="shared" si="17" ref="AQ24:AQ32">AX24+BE24+BL24+BS24</f>
        <v>0.1</v>
      </c>
      <c r="AR24" s="303">
        <f aca="true" t="shared" si="18" ref="AR24:AR32">AY24+BF24+BM24+BT24</f>
        <v>0</v>
      </c>
      <c r="AS24" s="303">
        <f aca="true" t="shared" si="19" ref="AS24:AS32">AZ24+BG24+BN24+BU24</f>
        <v>0</v>
      </c>
      <c r="AT24" s="303">
        <v>0</v>
      </c>
      <c r="AU24" s="303">
        <v>0</v>
      </c>
      <c r="AV24" s="303">
        <v>0</v>
      </c>
      <c r="AW24" s="303">
        <v>0</v>
      </c>
      <c r="AX24" s="303">
        <v>0.1</v>
      </c>
      <c r="AY24" s="303">
        <v>0</v>
      </c>
      <c r="AZ24" s="303">
        <v>0</v>
      </c>
      <c r="BA24" s="303">
        <v>0</v>
      </c>
      <c r="BB24" s="303">
        <v>0</v>
      </c>
      <c r="BC24" s="303">
        <v>0</v>
      </c>
      <c r="BD24" s="303">
        <v>0</v>
      </c>
      <c r="BE24" s="303">
        <v>0</v>
      </c>
      <c r="BF24" s="303">
        <v>0</v>
      </c>
      <c r="BG24" s="303">
        <v>0</v>
      </c>
      <c r="BH24" s="341">
        <v>0</v>
      </c>
      <c r="BI24" s="341">
        <v>0</v>
      </c>
      <c r="BJ24" s="341">
        <v>0</v>
      </c>
      <c r="BK24" s="341">
        <v>0</v>
      </c>
      <c r="BL24" s="341">
        <v>0</v>
      </c>
      <c r="BM24" s="341">
        <v>0</v>
      </c>
      <c r="BN24" s="341">
        <v>0</v>
      </c>
      <c r="BO24" s="303">
        <v>0</v>
      </c>
      <c r="BP24" s="249">
        <v>0</v>
      </c>
      <c r="BQ24" s="249">
        <v>0</v>
      </c>
      <c r="BR24" s="249">
        <v>0</v>
      </c>
      <c r="BS24" s="303">
        <v>0</v>
      </c>
      <c r="BT24" s="249">
        <v>0</v>
      </c>
      <c r="BU24" s="249">
        <v>0</v>
      </c>
      <c r="BV24" s="229"/>
      <c r="BX24" s="240"/>
      <c r="BY24" s="243"/>
    </row>
    <row r="25" spans="1:77" ht="48" customHeight="1">
      <c r="A25" s="45"/>
      <c r="B25" s="228" t="s">
        <v>157</v>
      </c>
      <c r="C25" s="268"/>
      <c r="D25" s="249">
        <f t="shared" si="6"/>
        <v>0</v>
      </c>
      <c r="E25" s="249">
        <f t="shared" si="7"/>
        <v>0</v>
      </c>
      <c r="F25" s="249">
        <f t="shared" si="8"/>
        <v>0</v>
      </c>
      <c r="G25" s="249">
        <f t="shared" si="9"/>
        <v>0</v>
      </c>
      <c r="H25" s="249">
        <f t="shared" si="10"/>
        <v>0</v>
      </c>
      <c r="I25" s="249">
        <f t="shared" si="11"/>
        <v>0</v>
      </c>
      <c r="J25" s="249">
        <f t="shared" si="12"/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302">
        <v>0</v>
      </c>
      <c r="AJ25" s="302">
        <v>0</v>
      </c>
      <c r="AK25" s="302">
        <v>0</v>
      </c>
      <c r="AL25" s="302">
        <v>0</v>
      </c>
      <c r="AM25" s="303">
        <f t="shared" si="13"/>
        <v>0</v>
      </c>
      <c r="AN25" s="303">
        <f t="shared" si="14"/>
        <v>0</v>
      </c>
      <c r="AO25" s="303">
        <f t="shared" si="15"/>
        <v>0</v>
      </c>
      <c r="AP25" s="303">
        <f t="shared" si="16"/>
        <v>0</v>
      </c>
      <c r="AQ25" s="303">
        <f t="shared" si="17"/>
        <v>0.36</v>
      </c>
      <c r="AR25" s="303">
        <f t="shared" si="18"/>
        <v>0</v>
      </c>
      <c r="AS25" s="303">
        <f t="shared" si="19"/>
        <v>0</v>
      </c>
      <c r="AT25" s="303">
        <v>0</v>
      </c>
      <c r="AU25" s="303">
        <f aca="true" t="shared" si="20" ref="AU25:AU31">BB25+BI25+BP25+BW25</f>
        <v>0</v>
      </c>
      <c r="AV25" s="303">
        <f>BC25+BJ25+BQ25+BX25</f>
        <v>0</v>
      </c>
      <c r="AW25" s="303">
        <f>BD25+BK25+BR25+BY25</f>
        <v>0</v>
      </c>
      <c r="AX25" s="303">
        <v>0</v>
      </c>
      <c r="AY25" s="303">
        <v>0</v>
      </c>
      <c r="AZ25" s="303">
        <v>0</v>
      </c>
      <c r="BA25" s="303">
        <v>0</v>
      </c>
      <c r="BB25" s="303">
        <v>0</v>
      </c>
      <c r="BC25" s="303">
        <v>0</v>
      </c>
      <c r="BD25" s="303">
        <v>0</v>
      </c>
      <c r="BE25" s="303">
        <v>0</v>
      </c>
      <c r="BF25" s="303">
        <v>0</v>
      </c>
      <c r="BG25" s="303">
        <v>0</v>
      </c>
      <c r="BH25" s="341">
        <v>0</v>
      </c>
      <c r="BI25" s="341">
        <v>0</v>
      </c>
      <c r="BJ25" s="341">
        <v>0</v>
      </c>
      <c r="BK25" s="341">
        <v>0</v>
      </c>
      <c r="BL25" s="328">
        <v>0.36</v>
      </c>
      <c r="BM25" s="341">
        <v>0</v>
      </c>
      <c r="BN25" s="341">
        <v>0</v>
      </c>
      <c r="BO25" s="303">
        <v>0</v>
      </c>
      <c r="BP25" s="249">
        <v>0</v>
      </c>
      <c r="BQ25" s="249">
        <v>0</v>
      </c>
      <c r="BR25" s="249">
        <v>0</v>
      </c>
      <c r="BS25" s="303">
        <v>0</v>
      </c>
      <c r="BT25" s="249">
        <v>0</v>
      </c>
      <c r="BU25" s="249">
        <v>0</v>
      </c>
      <c r="BV25" s="229"/>
      <c r="BX25" s="240"/>
      <c r="BY25" s="243"/>
    </row>
    <row r="26" spans="1:77" ht="51" customHeight="1">
      <c r="A26" s="45"/>
      <c r="B26" s="228" t="s">
        <v>42</v>
      </c>
      <c r="C26" s="268"/>
      <c r="D26" s="249">
        <f t="shared" si="6"/>
        <v>0</v>
      </c>
      <c r="E26" s="249">
        <f t="shared" si="7"/>
        <v>0</v>
      </c>
      <c r="F26" s="249">
        <f t="shared" si="8"/>
        <v>0</v>
      </c>
      <c r="G26" s="249">
        <f t="shared" si="9"/>
        <v>0</v>
      </c>
      <c r="H26" s="249">
        <f t="shared" si="10"/>
        <v>0</v>
      </c>
      <c r="I26" s="249">
        <f t="shared" si="11"/>
        <v>0</v>
      </c>
      <c r="J26" s="249">
        <f t="shared" si="12"/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302">
        <v>0</v>
      </c>
      <c r="AJ26" s="302">
        <v>0</v>
      </c>
      <c r="AK26" s="302">
        <v>0</v>
      </c>
      <c r="AL26" s="302">
        <v>0</v>
      </c>
      <c r="AM26" s="303">
        <f t="shared" si="13"/>
        <v>0</v>
      </c>
      <c r="AN26" s="303">
        <f t="shared" si="14"/>
        <v>0</v>
      </c>
      <c r="AO26" s="303">
        <f t="shared" si="15"/>
        <v>0</v>
      </c>
      <c r="AP26" s="303">
        <f t="shared" si="16"/>
        <v>0</v>
      </c>
      <c r="AQ26" s="303">
        <f t="shared" si="17"/>
        <v>0.12</v>
      </c>
      <c r="AR26" s="303">
        <f t="shared" si="18"/>
        <v>0</v>
      </c>
      <c r="AS26" s="303">
        <f t="shared" si="19"/>
        <v>0</v>
      </c>
      <c r="AT26" s="303">
        <v>0</v>
      </c>
      <c r="AU26" s="303">
        <f t="shared" si="20"/>
        <v>0</v>
      </c>
      <c r="AV26" s="303">
        <v>0</v>
      </c>
      <c r="AW26" s="303">
        <v>0</v>
      </c>
      <c r="AX26" s="303">
        <v>0</v>
      </c>
      <c r="AY26" s="303">
        <v>0</v>
      </c>
      <c r="AZ26" s="303">
        <v>0</v>
      </c>
      <c r="BA26" s="303">
        <v>0</v>
      </c>
      <c r="BB26" s="303">
        <v>0</v>
      </c>
      <c r="BC26" s="303">
        <v>0</v>
      </c>
      <c r="BD26" s="303">
        <v>0</v>
      </c>
      <c r="BE26" s="303">
        <v>0</v>
      </c>
      <c r="BF26" s="303">
        <v>0</v>
      </c>
      <c r="BG26" s="303">
        <v>0</v>
      </c>
      <c r="BH26" s="341">
        <v>0</v>
      </c>
      <c r="BI26" s="341">
        <v>0</v>
      </c>
      <c r="BJ26" s="341">
        <v>0</v>
      </c>
      <c r="BK26" s="341">
        <v>0</v>
      </c>
      <c r="BL26" s="328">
        <v>0.12</v>
      </c>
      <c r="BM26" s="341">
        <v>0</v>
      </c>
      <c r="BN26" s="341">
        <v>0</v>
      </c>
      <c r="BO26" s="303">
        <v>0</v>
      </c>
      <c r="BP26" s="249">
        <v>0</v>
      </c>
      <c r="BQ26" s="249">
        <v>0</v>
      </c>
      <c r="BR26" s="249">
        <v>0</v>
      </c>
      <c r="BS26" s="303">
        <v>0</v>
      </c>
      <c r="BT26" s="249">
        <v>0</v>
      </c>
      <c r="BU26" s="249">
        <v>0</v>
      </c>
      <c r="BV26" s="229"/>
      <c r="BX26" s="240"/>
      <c r="BY26" s="243"/>
    </row>
    <row r="27" spans="1:77" ht="51.75" customHeight="1">
      <c r="A27" s="45"/>
      <c r="B27" s="228" t="s">
        <v>44</v>
      </c>
      <c r="C27" s="268"/>
      <c r="D27" s="249">
        <f t="shared" si="6"/>
        <v>0</v>
      </c>
      <c r="E27" s="249">
        <f t="shared" si="7"/>
        <v>0</v>
      </c>
      <c r="F27" s="249">
        <f t="shared" si="8"/>
        <v>0</v>
      </c>
      <c r="G27" s="249">
        <f t="shared" si="9"/>
        <v>0</v>
      </c>
      <c r="H27" s="249">
        <f t="shared" si="10"/>
        <v>0</v>
      </c>
      <c r="I27" s="249">
        <f t="shared" si="11"/>
        <v>0</v>
      </c>
      <c r="J27" s="249">
        <f t="shared" si="12"/>
        <v>0</v>
      </c>
      <c r="K27" s="250">
        <v>0</v>
      </c>
      <c r="L27" s="250">
        <v>0</v>
      </c>
      <c r="M27" s="250">
        <v>0</v>
      </c>
      <c r="N27" s="250">
        <v>0</v>
      </c>
      <c r="O27" s="250">
        <v>0</v>
      </c>
      <c r="P27" s="250">
        <v>0</v>
      </c>
      <c r="Q27" s="250">
        <v>0</v>
      </c>
      <c r="R27" s="250">
        <v>0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302">
        <v>0</v>
      </c>
      <c r="AJ27" s="302">
        <v>0</v>
      </c>
      <c r="AK27" s="302">
        <v>0</v>
      </c>
      <c r="AL27" s="302">
        <v>0</v>
      </c>
      <c r="AM27" s="303">
        <f t="shared" si="13"/>
        <v>0</v>
      </c>
      <c r="AN27" s="303">
        <f t="shared" si="14"/>
        <v>0</v>
      </c>
      <c r="AO27" s="303">
        <f t="shared" si="15"/>
        <v>0</v>
      </c>
      <c r="AP27" s="303">
        <f t="shared" si="16"/>
        <v>0</v>
      </c>
      <c r="AQ27" s="303">
        <f t="shared" si="17"/>
        <v>0.527</v>
      </c>
      <c r="AR27" s="303">
        <f t="shared" si="18"/>
        <v>0</v>
      </c>
      <c r="AS27" s="303">
        <f t="shared" si="19"/>
        <v>0</v>
      </c>
      <c r="AT27" s="303">
        <v>0</v>
      </c>
      <c r="AU27" s="303">
        <f t="shared" si="20"/>
        <v>0</v>
      </c>
      <c r="AV27" s="303">
        <f>BC27+BJ27+BQ27+BX27</f>
        <v>0</v>
      </c>
      <c r="AW27" s="303">
        <f>BD27+BK27+BR27+BY27</f>
        <v>0</v>
      </c>
      <c r="AX27" s="303">
        <v>0</v>
      </c>
      <c r="AY27" s="303">
        <v>0</v>
      </c>
      <c r="AZ27" s="303">
        <v>0</v>
      </c>
      <c r="BA27" s="303">
        <v>0</v>
      </c>
      <c r="BB27" s="303">
        <v>0</v>
      </c>
      <c r="BC27" s="303">
        <v>0</v>
      </c>
      <c r="BD27" s="303">
        <v>0</v>
      </c>
      <c r="BE27" s="303">
        <v>0</v>
      </c>
      <c r="BF27" s="303">
        <v>0</v>
      </c>
      <c r="BG27" s="303">
        <v>0</v>
      </c>
      <c r="BH27" s="341">
        <v>0</v>
      </c>
      <c r="BI27" s="341">
        <v>0</v>
      </c>
      <c r="BJ27" s="341">
        <v>0</v>
      </c>
      <c r="BK27" s="341">
        <v>0</v>
      </c>
      <c r="BL27" s="328">
        <v>0.527</v>
      </c>
      <c r="BM27" s="341">
        <v>0</v>
      </c>
      <c r="BN27" s="341">
        <v>0</v>
      </c>
      <c r="BO27" s="303">
        <v>0</v>
      </c>
      <c r="BP27" s="249">
        <v>0</v>
      </c>
      <c r="BQ27" s="249">
        <v>0</v>
      </c>
      <c r="BR27" s="249">
        <v>0</v>
      </c>
      <c r="BS27" s="303">
        <v>0</v>
      </c>
      <c r="BT27" s="249">
        <v>0</v>
      </c>
      <c r="BU27" s="249">
        <v>0</v>
      </c>
      <c r="BV27" s="229"/>
      <c r="BX27" s="240"/>
      <c r="BY27" s="243"/>
    </row>
    <row r="28" spans="1:77" ht="51.75" customHeight="1">
      <c r="A28" s="45"/>
      <c r="B28" s="228" t="s">
        <v>44</v>
      </c>
      <c r="C28" s="268"/>
      <c r="D28" s="249">
        <f t="shared" si="6"/>
        <v>0</v>
      </c>
      <c r="E28" s="249">
        <f t="shared" si="7"/>
        <v>0</v>
      </c>
      <c r="F28" s="249">
        <f t="shared" si="8"/>
        <v>0</v>
      </c>
      <c r="G28" s="249">
        <f t="shared" si="9"/>
        <v>0</v>
      </c>
      <c r="H28" s="249">
        <f t="shared" si="10"/>
        <v>0</v>
      </c>
      <c r="I28" s="249">
        <f t="shared" si="11"/>
        <v>0</v>
      </c>
      <c r="J28" s="249">
        <f t="shared" si="12"/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302">
        <v>0</v>
      </c>
      <c r="AJ28" s="302">
        <v>0</v>
      </c>
      <c r="AK28" s="302">
        <v>0</v>
      </c>
      <c r="AL28" s="302">
        <v>0</v>
      </c>
      <c r="AM28" s="303">
        <f t="shared" si="13"/>
        <v>0</v>
      </c>
      <c r="AN28" s="303">
        <f t="shared" si="14"/>
        <v>0</v>
      </c>
      <c r="AO28" s="303">
        <f t="shared" si="15"/>
        <v>0</v>
      </c>
      <c r="AP28" s="303">
        <f t="shared" si="16"/>
        <v>0</v>
      </c>
      <c r="AQ28" s="303">
        <f t="shared" si="17"/>
        <v>0.76</v>
      </c>
      <c r="AR28" s="303">
        <f t="shared" si="18"/>
        <v>0</v>
      </c>
      <c r="AS28" s="303">
        <f t="shared" si="19"/>
        <v>0</v>
      </c>
      <c r="AT28" s="303">
        <v>0</v>
      </c>
      <c r="AU28" s="303">
        <f t="shared" si="20"/>
        <v>0</v>
      </c>
      <c r="AV28" s="303">
        <v>0</v>
      </c>
      <c r="AW28" s="303">
        <v>0</v>
      </c>
      <c r="AX28" s="303">
        <v>0</v>
      </c>
      <c r="AY28" s="303">
        <v>0</v>
      </c>
      <c r="AZ28" s="303">
        <v>0</v>
      </c>
      <c r="BA28" s="303">
        <v>0</v>
      </c>
      <c r="BB28" s="303">
        <v>0</v>
      </c>
      <c r="BC28" s="303">
        <v>0</v>
      </c>
      <c r="BD28" s="303">
        <v>0</v>
      </c>
      <c r="BE28" s="303">
        <v>0</v>
      </c>
      <c r="BF28" s="303">
        <v>0</v>
      </c>
      <c r="BG28" s="303">
        <v>0</v>
      </c>
      <c r="BH28" s="341">
        <v>0</v>
      </c>
      <c r="BI28" s="341">
        <v>0</v>
      </c>
      <c r="BJ28" s="341">
        <v>0</v>
      </c>
      <c r="BK28" s="341">
        <v>0</v>
      </c>
      <c r="BL28" s="341">
        <v>0</v>
      </c>
      <c r="BM28" s="341">
        <v>0</v>
      </c>
      <c r="BN28" s="341">
        <v>0</v>
      </c>
      <c r="BO28" s="303">
        <v>0</v>
      </c>
      <c r="BP28" s="249">
        <v>0</v>
      </c>
      <c r="BQ28" s="249">
        <v>0</v>
      </c>
      <c r="BR28" s="249">
        <v>0</v>
      </c>
      <c r="BS28" s="295">
        <v>0.76</v>
      </c>
      <c r="BT28" s="249">
        <v>0</v>
      </c>
      <c r="BU28" s="249">
        <v>0</v>
      </c>
      <c r="BV28" s="229"/>
      <c r="BX28" s="240"/>
      <c r="BY28" s="243"/>
    </row>
    <row r="29" spans="1:77" ht="51.75" customHeight="1">
      <c r="A29" s="45"/>
      <c r="B29" s="228" t="s">
        <v>46</v>
      </c>
      <c r="C29" s="268"/>
      <c r="D29" s="249">
        <f t="shared" si="6"/>
        <v>0</v>
      </c>
      <c r="E29" s="249">
        <f t="shared" si="7"/>
        <v>0</v>
      </c>
      <c r="F29" s="249">
        <f t="shared" si="8"/>
        <v>0</v>
      </c>
      <c r="G29" s="249">
        <f t="shared" si="9"/>
        <v>0</v>
      </c>
      <c r="H29" s="249">
        <f t="shared" si="10"/>
        <v>0</v>
      </c>
      <c r="I29" s="249">
        <f t="shared" si="11"/>
        <v>0</v>
      </c>
      <c r="J29" s="249">
        <f t="shared" si="12"/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302">
        <v>0</v>
      </c>
      <c r="AJ29" s="302">
        <v>0</v>
      </c>
      <c r="AK29" s="302">
        <v>0</v>
      </c>
      <c r="AL29" s="302">
        <v>0</v>
      </c>
      <c r="AM29" s="303">
        <f t="shared" si="13"/>
        <v>0</v>
      </c>
      <c r="AN29" s="303">
        <f t="shared" si="14"/>
        <v>0</v>
      </c>
      <c r="AO29" s="303">
        <f t="shared" si="15"/>
        <v>0</v>
      </c>
      <c r="AP29" s="303">
        <f t="shared" si="16"/>
        <v>0</v>
      </c>
      <c r="AQ29" s="303">
        <f t="shared" si="17"/>
        <v>0.12</v>
      </c>
      <c r="AR29" s="303">
        <f t="shared" si="18"/>
        <v>0</v>
      </c>
      <c r="AS29" s="303">
        <f t="shared" si="19"/>
        <v>0</v>
      </c>
      <c r="AT29" s="303">
        <v>0</v>
      </c>
      <c r="AU29" s="303">
        <f t="shared" si="20"/>
        <v>0</v>
      </c>
      <c r="AV29" s="303">
        <f>BC29+BJ29+BQ29+BX29</f>
        <v>0</v>
      </c>
      <c r="AW29" s="303">
        <v>0</v>
      </c>
      <c r="AX29" s="303">
        <v>0</v>
      </c>
      <c r="AY29" s="303">
        <v>0</v>
      </c>
      <c r="AZ29" s="303">
        <v>0</v>
      </c>
      <c r="BA29" s="303">
        <v>0</v>
      </c>
      <c r="BB29" s="303">
        <v>0</v>
      </c>
      <c r="BC29" s="303">
        <v>0</v>
      </c>
      <c r="BD29" s="303">
        <v>0</v>
      </c>
      <c r="BE29" s="303">
        <v>0</v>
      </c>
      <c r="BF29" s="303">
        <v>0</v>
      </c>
      <c r="BG29" s="303">
        <v>0</v>
      </c>
      <c r="BH29" s="341">
        <v>0</v>
      </c>
      <c r="BI29" s="341">
        <v>0</v>
      </c>
      <c r="BJ29" s="341">
        <v>0</v>
      </c>
      <c r="BK29" s="341">
        <v>0</v>
      </c>
      <c r="BL29" s="341">
        <v>0</v>
      </c>
      <c r="BM29" s="341">
        <v>0</v>
      </c>
      <c r="BN29" s="341">
        <v>0</v>
      </c>
      <c r="BO29" s="303">
        <v>0</v>
      </c>
      <c r="BP29" s="249">
        <v>0</v>
      </c>
      <c r="BQ29" s="249">
        <v>0</v>
      </c>
      <c r="BR29" s="249">
        <v>0</v>
      </c>
      <c r="BS29" s="295">
        <v>0.12</v>
      </c>
      <c r="BT29" s="249">
        <v>0</v>
      </c>
      <c r="BU29" s="249">
        <v>0</v>
      </c>
      <c r="BV29" s="229"/>
      <c r="BX29" s="240"/>
      <c r="BY29" s="243"/>
    </row>
    <row r="30" spans="1:77" ht="51.75" customHeight="1">
      <c r="A30" s="45"/>
      <c r="B30" s="270" t="s">
        <v>48</v>
      </c>
      <c r="C30" s="268"/>
      <c r="D30" s="249">
        <f t="shared" si="6"/>
        <v>0</v>
      </c>
      <c r="E30" s="249">
        <f t="shared" si="7"/>
        <v>0</v>
      </c>
      <c r="F30" s="249">
        <f t="shared" si="8"/>
        <v>0</v>
      </c>
      <c r="G30" s="249">
        <f t="shared" si="9"/>
        <v>0</v>
      </c>
      <c r="H30" s="249">
        <f t="shared" si="10"/>
        <v>0</v>
      </c>
      <c r="I30" s="249">
        <f t="shared" si="11"/>
        <v>0</v>
      </c>
      <c r="J30" s="249">
        <f t="shared" si="12"/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302">
        <v>0</v>
      </c>
      <c r="AJ30" s="302">
        <v>0</v>
      </c>
      <c r="AK30" s="302">
        <v>0</v>
      </c>
      <c r="AL30" s="302">
        <v>0</v>
      </c>
      <c r="AM30" s="303">
        <f t="shared" si="13"/>
        <v>0</v>
      </c>
      <c r="AN30" s="303">
        <f t="shared" si="14"/>
        <v>0</v>
      </c>
      <c r="AO30" s="303">
        <f t="shared" si="15"/>
        <v>0</v>
      </c>
      <c r="AP30" s="303">
        <f t="shared" si="16"/>
        <v>0</v>
      </c>
      <c r="AQ30" s="303">
        <f t="shared" si="17"/>
        <v>0.3</v>
      </c>
      <c r="AR30" s="303">
        <f t="shared" si="18"/>
        <v>0</v>
      </c>
      <c r="AS30" s="303">
        <f t="shared" si="19"/>
        <v>0</v>
      </c>
      <c r="AT30" s="303">
        <v>0</v>
      </c>
      <c r="AU30" s="303">
        <f t="shared" si="20"/>
        <v>0</v>
      </c>
      <c r="AV30" s="303">
        <v>0</v>
      </c>
      <c r="AW30" s="303">
        <v>0</v>
      </c>
      <c r="AX30" s="303">
        <v>0</v>
      </c>
      <c r="AY30" s="303">
        <v>0</v>
      </c>
      <c r="AZ30" s="303">
        <v>0</v>
      </c>
      <c r="BA30" s="303">
        <v>0</v>
      </c>
      <c r="BB30" s="303">
        <v>0</v>
      </c>
      <c r="BC30" s="303">
        <v>0</v>
      </c>
      <c r="BD30" s="303">
        <v>0</v>
      </c>
      <c r="BE30" s="303">
        <v>0</v>
      </c>
      <c r="BF30" s="303">
        <v>0</v>
      </c>
      <c r="BG30" s="303">
        <v>0</v>
      </c>
      <c r="BH30" s="341">
        <v>0</v>
      </c>
      <c r="BI30" s="341">
        <v>0</v>
      </c>
      <c r="BJ30" s="341">
        <v>0</v>
      </c>
      <c r="BK30" s="341">
        <v>0</v>
      </c>
      <c r="BL30" s="341">
        <v>0</v>
      </c>
      <c r="BM30" s="341">
        <v>0</v>
      </c>
      <c r="BN30" s="341">
        <v>0</v>
      </c>
      <c r="BO30" s="303">
        <v>0</v>
      </c>
      <c r="BP30" s="249">
        <v>0</v>
      </c>
      <c r="BQ30" s="249">
        <v>0</v>
      </c>
      <c r="BR30" s="249">
        <v>0</v>
      </c>
      <c r="BS30" s="295">
        <v>0.3</v>
      </c>
      <c r="BT30" s="249">
        <v>0</v>
      </c>
      <c r="BU30" s="249">
        <v>0</v>
      </c>
      <c r="BV30" s="229"/>
      <c r="BX30" s="240"/>
      <c r="BY30" s="243"/>
    </row>
    <row r="31" spans="1:77" ht="51.75" customHeight="1">
      <c r="A31" s="45"/>
      <c r="B31" s="270" t="s">
        <v>50</v>
      </c>
      <c r="C31" s="268"/>
      <c r="D31" s="249">
        <f t="shared" si="6"/>
        <v>0</v>
      </c>
      <c r="E31" s="249">
        <f t="shared" si="7"/>
        <v>0</v>
      </c>
      <c r="F31" s="249">
        <f t="shared" si="8"/>
        <v>0</v>
      </c>
      <c r="G31" s="249">
        <f t="shared" si="9"/>
        <v>0</v>
      </c>
      <c r="H31" s="249">
        <f t="shared" si="10"/>
        <v>0</v>
      </c>
      <c r="I31" s="249">
        <f t="shared" si="11"/>
        <v>0</v>
      </c>
      <c r="J31" s="249">
        <f t="shared" si="12"/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302">
        <v>0</v>
      </c>
      <c r="AJ31" s="302">
        <v>0</v>
      </c>
      <c r="AK31" s="302">
        <v>0</v>
      </c>
      <c r="AL31" s="302">
        <v>0</v>
      </c>
      <c r="AM31" s="303">
        <f t="shared" si="13"/>
        <v>0</v>
      </c>
      <c r="AN31" s="303">
        <f t="shared" si="14"/>
        <v>0</v>
      </c>
      <c r="AO31" s="303">
        <f t="shared" si="15"/>
        <v>0</v>
      </c>
      <c r="AP31" s="303">
        <f t="shared" si="16"/>
        <v>0</v>
      </c>
      <c r="AQ31" s="303">
        <f t="shared" si="17"/>
        <v>0.32</v>
      </c>
      <c r="AR31" s="303">
        <f t="shared" si="18"/>
        <v>0</v>
      </c>
      <c r="AS31" s="303">
        <f t="shared" si="19"/>
        <v>0</v>
      </c>
      <c r="AT31" s="303">
        <v>0</v>
      </c>
      <c r="AU31" s="303">
        <f t="shared" si="20"/>
        <v>0</v>
      </c>
      <c r="AV31" s="303">
        <f>BC31+BJ31+BQ31+BX31</f>
        <v>0</v>
      </c>
      <c r="AW31" s="303">
        <v>0</v>
      </c>
      <c r="AX31" s="303">
        <v>0</v>
      </c>
      <c r="AY31" s="303">
        <v>0</v>
      </c>
      <c r="AZ31" s="303">
        <v>0</v>
      </c>
      <c r="BA31" s="303">
        <v>0</v>
      </c>
      <c r="BB31" s="303">
        <v>0</v>
      </c>
      <c r="BC31" s="303">
        <v>0</v>
      </c>
      <c r="BD31" s="303">
        <v>0</v>
      </c>
      <c r="BE31" s="303">
        <v>0</v>
      </c>
      <c r="BF31" s="303">
        <v>0</v>
      </c>
      <c r="BG31" s="303">
        <v>0</v>
      </c>
      <c r="BH31" s="341">
        <v>0</v>
      </c>
      <c r="BI31" s="341">
        <v>0</v>
      </c>
      <c r="BJ31" s="341">
        <v>0</v>
      </c>
      <c r="BK31" s="341">
        <v>0</v>
      </c>
      <c r="BL31" s="341">
        <v>0</v>
      </c>
      <c r="BM31" s="341">
        <v>0</v>
      </c>
      <c r="BN31" s="341">
        <v>0</v>
      </c>
      <c r="BO31" s="303">
        <v>0</v>
      </c>
      <c r="BP31" s="249">
        <v>0</v>
      </c>
      <c r="BQ31" s="249">
        <v>0</v>
      </c>
      <c r="BR31" s="249">
        <v>0</v>
      </c>
      <c r="BS31" s="295">
        <v>0.32</v>
      </c>
      <c r="BT31" s="249">
        <v>0</v>
      </c>
      <c r="BU31" s="249">
        <v>0</v>
      </c>
      <c r="BV31" s="229"/>
      <c r="BX31" s="240"/>
      <c r="BY31" s="243"/>
    </row>
    <row r="32" spans="1:77" ht="51.75" customHeight="1">
      <c r="A32" s="45"/>
      <c r="B32" s="270" t="s">
        <v>52</v>
      </c>
      <c r="C32" s="268"/>
      <c r="D32" s="249">
        <f t="shared" si="6"/>
        <v>0</v>
      </c>
      <c r="E32" s="249">
        <f t="shared" si="7"/>
        <v>0</v>
      </c>
      <c r="F32" s="249">
        <f t="shared" si="8"/>
        <v>0</v>
      </c>
      <c r="G32" s="249">
        <f t="shared" si="9"/>
        <v>0</v>
      </c>
      <c r="H32" s="249">
        <f t="shared" si="10"/>
        <v>0</v>
      </c>
      <c r="I32" s="249">
        <f t="shared" si="11"/>
        <v>0</v>
      </c>
      <c r="J32" s="249">
        <f t="shared" si="12"/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302">
        <v>0</v>
      </c>
      <c r="AJ32" s="302">
        <v>0</v>
      </c>
      <c r="AK32" s="302">
        <v>0</v>
      </c>
      <c r="AL32" s="302">
        <v>0</v>
      </c>
      <c r="AM32" s="303">
        <f t="shared" si="13"/>
        <v>0</v>
      </c>
      <c r="AN32" s="303">
        <f t="shared" si="14"/>
        <v>0</v>
      </c>
      <c r="AO32" s="303">
        <f t="shared" si="15"/>
        <v>0</v>
      </c>
      <c r="AP32" s="303">
        <f t="shared" si="16"/>
        <v>0</v>
      </c>
      <c r="AQ32" s="303">
        <f t="shared" si="17"/>
        <v>0.25</v>
      </c>
      <c r="AR32" s="303">
        <f t="shared" si="18"/>
        <v>0</v>
      </c>
      <c r="AS32" s="303">
        <f t="shared" si="19"/>
        <v>0</v>
      </c>
      <c r="AT32" s="303">
        <v>0</v>
      </c>
      <c r="AU32" s="303"/>
      <c r="AV32" s="303">
        <v>0</v>
      </c>
      <c r="AW32" s="303">
        <v>0</v>
      </c>
      <c r="AX32" s="303">
        <v>0</v>
      </c>
      <c r="AY32" s="303">
        <v>0</v>
      </c>
      <c r="AZ32" s="303">
        <v>0</v>
      </c>
      <c r="BA32" s="303">
        <v>0</v>
      </c>
      <c r="BB32" s="303">
        <v>0</v>
      </c>
      <c r="BC32" s="303">
        <v>0</v>
      </c>
      <c r="BD32" s="303">
        <v>0</v>
      </c>
      <c r="BE32" s="303">
        <v>0</v>
      </c>
      <c r="BF32" s="303">
        <v>0</v>
      </c>
      <c r="BG32" s="303">
        <v>0</v>
      </c>
      <c r="BH32" s="341">
        <v>0</v>
      </c>
      <c r="BI32" s="341">
        <v>0</v>
      </c>
      <c r="BJ32" s="341">
        <v>0</v>
      </c>
      <c r="BK32" s="341">
        <v>0</v>
      </c>
      <c r="BL32" s="341">
        <v>0</v>
      </c>
      <c r="BM32" s="341">
        <v>0</v>
      </c>
      <c r="BN32" s="341">
        <v>0</v>
      </c>
      <c r="BO32" s="303">
        <v>0</v>
      </c>
      <c r="BP32" s="249">
        <v>0</v>
      </c>
      <c r="BQ32" s="249">
        <v>0</v>
      </c>
      <c r="BR32" s="249">
        <v>0</v>
      </c>
      <c r="BS32" s="295">
        <v>0.25</v>
      </c>
      <c r="BT32" s="249">
        <v>0</v>
      </c>
      <c r="BU32" s="249">
        <v>0</v>
      </c>
      <c r="BV32" s="229"/>
      <c r="BX32" s="240"/>
      <c r="BY32" s="243"/>
    </row>
    <row r="33" spans="1:77" s="246" customFormat="1" ht="47.25">
      <c r="A33" s="49" t="s">
        <v>53</v>
      </c>
      <c r="B33" s="230" t="s">
        <v>54</v>
      </c>
      <c r="C33" s="275"/>
      <c r="D33" s="251">
        <f aca="true" t="shared" si="21" ref="D33:AI33">D34+D37+D50+D56</f>
        <v>0</v>
      </c>
      <c r="E33" s="251">
        <f t="shared" si="21"/>
        <v>0</v>
      </c>
      <c r="F33" s="251">
        <f t="shared" si="21"/>
        <v>0</v>
      </c>
      <c r="G33" s="251">
        <f t="shared" si="21"/>
        <v>0</v>
      </c>
      <c r="H33" s="251">
        <f t="shared" si="21"/>
        <v>0</v>
      </c>
      <c r="I33" s="251">
        <f t="shared" si="21"/>
        <v>0</v>
      </c>
      <c r="J33" s="251">
        <f t="shared" si="21"/>
        <v>0</v>
      </c>
      <c r="K33" s="251">
        <f t="shared" si="21"/>
        <v>0</v>
      </c>
      <c r="L33" s="251">
        <f t="shared" si="21"/>
        <v>0</v>
      </c>
      <c r="M33" s="251">
        <f t="shared" si="21"/>
        <v>0</v>
      </c>
      <c r="N33" s="251">
        <f t="shared" si="21"/>
        <v>0</v>
      </c>
      <c r="O33" s="251">
        <f t="shared" si="21"/>
        <v>0</v>
      </c>
      <c r="P33" s="251">
        <f t="shared" si="21"/>
        <v>0</v>
      </c>
      <c r="Q33" s="251">
        <f t="shared" si="21"/>
        <v>0</v>
      </c>
      <c r="R33" s="251">
        <f t="shared" si="21"/>
        <v>0</v>
      </c>
      <c r="S33" s="251">
        <f t="shared" si="21"/>
        <v>0</v>
      </c>
      <c r="T33" s="251">
        <f t="shared" si="21"/>
        <v>0</v>
      </c>
      <c r="U33" s="251">
        <f t="shared" si="21"/>
        <v>0</v>
      </c>
      <c r="V33" s="251">
        <f t="shared" si="21"/>
        <v>0</v>
      </c>
      <c r="W33" s="251">
        <f t="shared" si="21"/>
        <v>0</v>
      </c>
      <c r="X33" s="251">
        <f t="shared" si="21"/>
        <v>0</v>
      </c>
      <c r="Y33" s="251">
        <f t="shared" si="21"/>
        <v>0</v>
      </c>
      <c r="Z33" s="251">
        <f t="shared" si="21"/>
        <v>0</v>
      </c>
      <c r="AA33" s="251">
        <f t="shared" si="21"/>
        <v>0</v>
      </c>
      <c r="AB33" s="251">
        <f t="shared" si="21"/>
        <v>0</v>
      </c>
      <c r="AC33" s="251">
        <f t="shared" si="21"/>
        <v>0</v>
      </c>
      <c r="AD33" s="251">
        <f t="shared" si="21"/>
        <v>0</v>
      </c>
      <c r="AE33" s="251">
        <f t="shared" si="21"/>
        <v>0</v>
      </c>
      <c r="AF33" s="251">
        <f t="shared" si="21"/>
        <v>0</v>
      </c>
      <c r="AG33" s="251">
        <f t="shared" si="21"/>
        <v>0</v>
      </c>
      <c r="AH33" s="251">
        <f t="shared" si="21"/>
        <v>0</v>
      </c>
      <c r="AI33" s="304">
        <f t="shared" si="21"/>
        <v>0</v>
      </c>
      <c r="AJ33" s="304">
        <f aca="true" t="shared" si="22" ref="AJ33:BO33">AJ34+AJ37+AJ50+AJ56</f>
        <v>0</v>
      </c>
      <c r="AK33" s="304">
        <f t="shared" si="22"/>
        <v>0</v>
      </c>
      <c r="AL33" s="304">
        <f t="shared" si="22"/>
        <v>0</v>
      </c>
      <c r="AM33" s="304">
        <f t="shared" si="22"/>
        <v>1.03</v>
      </c>
      <c r="AN33" s="304">
        <f t="shared" si="22"/>
        <v>0</v>
      </c>
      <c r="AO33" s="304">
        <f t="shared" si="22"/>
        <v>0</v>
      </c>
      <c r="AP33" s="304">
        <f t="shared" si="22"/>
        <v>0</v>
      </c>
      <c r="AQ33" s="304">
        <f t="shared" si="22"/>
        <v>2.5846</v>
      </c>
      <c r="AR33" s="304">
        <f t="shared" si="22"/>
        <v>0</v>
      </c>
      <c r="AS33" s="304">
        <f t="shared" si="22"/>
        <v>0</v>
      </c>
      <c r="AT33" s="304">
        <f t="shared" si="22"/>
        <v>0</v>
      </c>
      <c r="AU33" s="304">
        <f t="shared" si="22"/>
        <v>0</v>
      </c>
      <c r="AV33" s="304">
        <f t="shared" si="22"/>
        <v>0</v>
      </c>
      <c r="AW33" s="304">
        <f t="shared" si="22"/>
        <v>0</v>
      </c>
      <c r="AX33" s="304">
        <f t="shared" si="22"/>
        <v>0.025</v>
      </c>
      <c r="AY33" s="304">
        <f t="shared" si="22"/>
        <v>0</v>
      </c>
      <c r="AZ33" s="304">
        <f t="shared" si="22"/>
        <v>0</v>
      </c>
      <c r="BA33" s="304">
        <f t="shared" si="22"/>
        <v>0</v>
      </c>
      <c r="BB33" s="304">
        <f t="shared" si="22"/>
        <v>0</v>
      </c>
      <c r="BC33" s="304">
        <f t="shared" si="22"/>
        <v>0</v>
      </c>
      <c r="BD33" s="304">
        <f t="shared" si="22"/>
        <v>0</v>
      </c>
      <c r="BE33" s="304">
        <f t="shared" si="22"/>
        <v>0.83</v>
      </c>
      <c r="BF33" s="304">
        <f t="shared" si="22"/>
        <v>0</v>
      </c>
      <c r="BG33" s="304">
        <f t="shared" si="22"/>
        <v>0</v>
      </c>
      <c r="BH33" s="340">
        <f t="shared" si="22"/>
        <v>1.03</v>
      </c>
      <c r="BI33" s="340">
        <f t="shared" si="22"/>
        <v>0</v>
      </c>
      <c r="BJ33" s="340">
        <f t="shared" si="22"/>
        <v>0</v>
      </c>
      <c r="BK33" s="340">
        <f t="shared" si="22"/>
        <v>0</v>
      </c>
      <c r="BL33" s="340">
        <f t="shared" si="22"/>
        <v>0</v>
      </c>
      <c r="BM33" s="340">
        <f t="shared" si="22"/>
        <v>0</v>
      </c>
      <c r="BN33" s="340">
        <f t="shared" si="22"/>
        <v>0</v>
      </c>
      <c r="BO33" s="304">
        <f t="shared" si="22"/>
        <v>0</v>
      </c>
      <c r="BP33" s="251">
        <f aca="true" t="shared" si="23" ref="BP33:BU33">BP34+BP37+BP50+BP56</f>
        <v>0</v>
      </c>
      <c r="BQ33" s="251">
        <f t="shared" si="23"/>
        <v>0</v>
      </c>
      <c r="BR33" s="251">
        <f t="shared" si="23"/>
        <v>0</v>
      </c>
      <c r="BS33" s="342">
        <f t="shared" si="23"/>
        <v>1.7296</v>
      </c>
      <c r="BT33" s="251">
        <f t="shared" si="23"/>
        <v>0</v>
      </c>
      <c r="BU33" s="251">
        <f t="shared" si="23"/>
        <v>0</v>
      </c>
      <c r="BV33" s="245"/>
      <c r="BX33" s="247"/>
      <c r="BY33" s="248"/>
    </row>
    <row r="34" spans="1:77" s="246" customFormat="1" ht="31.5">
      <c r="A34" s="137" t="s">
        <v>164</v>
      </c>
      <c r="B34" s="230" t="s">
        <v>56</v>
      </c>
      <c r="C34" s="275"/>
      <c r="D34" s="251">
        <f aca="true" t="shared" si="24" ref="D34:AI34">SUM(D35:D36)</f>
        <v>0</v>
      </c>
      <c r="E34" s="251">
        <f t="shared" si="24"/>
        <v>0</v>
      </c>
      <c r="F34" s="251">
        <f t="shared" si="24"/>
        <v>0</v>
      </c>
      <c r="G34" s="251">
        <f t="shared" si="24"/>
        <v>0</v>
      </c>
      <c r="H34" s="251">
        <f t="shared" si="24"/>
        <v>0</v>
      </c>
      <c r="I34" s="251">
        <f t="shared" si="24"/>
        <v>0</v>
      </c>
      <c r="J34" s="251">
        <f t="shared" si="24"/>
        <v>0</v>
      </c>
      <c r="K34" s="251">
        <f t="shared" si="24"/>
        <v>0</v>
      </c>
      <c r="L34" s="251">
        <f t="shared" si="24"/>
        <v>0</v>
      </c>
      <c r="M34" s="251">
        <f t="shared" si="24"/>
        <v>0</v>
      </c>
      <c r="N34" s="251">
        <f t="shared" si="24"/>
        <v>0</v>
      </c>
      <c r="O34" s="251">
        <f t="shared" si="24"/>
        <v>0</v>
      </c>
      <c r="P34" s="251">
        <f t="shared" si="24"/>
        <v>0</v>
      </c>
      <c r="Q34" s="251">
        <f t="shared" si="24"/>
        <v>0</v>
      </c>
      <c r="R34" s="251">
        <f t="shared" si="24"/>
        <v>0</v>
      </c>
      <c r="S34" s="251">
        <f t="shared" si="24"/>
        <v>0</v>
      </c>
      <c r="T34" s="251">
        <f t="shared" si="24"/>
        <v>0</v>
      </c>
      <c r="U34" s="251">
        <f t="shared" si="24"/>
        <v>0</v>
      </c>
      <c r="V34" s="251">
        <f t="shared" si="24"/>
        <v>0</v>
      </c>
      <c r="W34" s="251">
        <f t="shared" si="24"/>
        <v>0</v>
      </c>
      <c r="X34" s="251">
        <f t="shared" si="24"/>
        <v>0</v>
      </c>
      <c r="Y34" s="251">
        <f t="shared" si="24"/>
        <v>0</v>
      </c>
      <c r="Z34" s="251">
        <f t="shared" si="24"/>
        <v>0</v>
      </c>
      <c r="AA34" s="251">
        <f t="shared" si="24"/>
        <v>0</v>
      </c>
      <c r="AB34" s="251">
        <f t="shared" si="24"/>
        <v>0</v>
      </c>
      <c r="AC34" s="251">
        <f t="shared" si="24"/>
        <v>0</v>
      </c>
      <c r="AD34" s="251">
        <f t="shared" si="24"/>
        <v>0</v>
      </c>
      <c r="AE34" s="251">
        <f t="shared" si="24"/>
        <v>0</v>
      </c>
      <c r="AF34" s="251">
        <f t="shared" si="24"/>
        <v>0</v>
      </c>
      <c r="AG34" s="251">
        <f t="shared" si="24"/>
        <v>0</v>
      </c>
      <c r="AH34" s="251">
        <f t="shared" si="24"/>
        <v>0</v>
      </c>
      <c r="AI34" s="304">
        <f t="shared" si="24"/>
        <v>0</v>
      </c>
      <c r="AJ34" s="304">
        <f aca="true" t="shared" si="25" ref="AJ34:BO34">SUM(AJ35:AJ36)</f>
        <v>0</v>
      </c>
      <c r="AK34" s="304">
        <f t="shared" si="25"/>
        <v>0</v>
      </c>
      <c r="AL34" s="304">
        <f t="shared" si="25"/>
        <v>0</v>
      </c>
      <c r="AM34" s="304">
        <f t="shared" si="25"/>
        <v>0</v>
      </c>
      <c r="AN34" s="304">
        <f t="shared" si="25"/>
        <v>0</v>
      </c>
      <c r="AO34" s="304">
        <f t="shared" si="25"/>
        <v>0</v>
      </c>
      <c r="AP34" s="304">
        <f t="shared" si="25"/>
        <v>0</v>
      </c>
      <c r="AQ34" s="304">
        <f t="shared" si="25"/>
        <v>0</v>
      </c>
      <c r="AR34" s="304">
        <f t="shared" si="25"/>
        <v>0</v>
      </c>
      <c r="AS34" s="304">
        <f t="shared" si="25"/>
        <v>0</v>
      </c>
      <c r="AT34" s="304">
        <f t="shared" si="25"/>
        <v>0</v>
      </c>
      <c r="AU34" s="304">
        <f t="shared" si="25"/>
        <v>0</v>
      </c>
      <c r="AV34" s="304">
        <f t="shared" si="25"/>
        <v>0</v>
      </c>
      <c r="AW34" s="304">
        <f t="shared" si="25"/>
        <v>0</v>
      </c>
      <c r="AX34" s="304">
        <f t="shared" si="25"/>
        <v>0</v>
      </c>
      <c r="AY34" s="304">
        <f t="shared" si="25"/>
        <v>0</v>
      </c>
      <c r="AZ34" s="304">
        <f t="shared" si="25"/>
        <v>0</v>
      </c>
      <c r="BA34" s="304">
        <f t="shared" si="25"/>
        <v>0</v>
      </c>
      <c r="BB34" s="304">
        <f t="shared" si="25"/>
        <v>0</v>
      </c>
      <c r="BC34" s="304">
        <f t="shared" si="25"/>
        <v>0</v>
      </c>
      <c r="BD34" s="304">
        <f t="shared" si="25"/>
        <v>0</v>
      </c>
      <c r="BE34" s="304">
        <f t="shared" si="25"/>
        <v>0</v>
      </c>
      <c r="BF34" s="304">
        <f t="shared" si="25"/>
        <v>0</v>
      </c>
      <c r="BG34" s="304">
        <f t="shared" si="25"/>
        <v>0</v>
      </c>
      <c r="BH34" s="340">
        <f t="shared" si="25"/>
        <v>0</v>
      </c>
      <c r="BI34" s="340">
        <f t="shared" si="25"/>
        <v>0</v>
      </c>
      <c r="BJ34" s="340">
        <f t="shared" si="25"/>
        <v>0</v>
      </c>
      <c r="BK34" s="340">
        <f t="shared" si="25"/>
        <v>0</v>
      </c>
      <c r="BL34" s="340">
        <f t="shared" si="25"/>
        <v>0</v>
      </c>
      <c r="BM34" s="340">
        <f t="shared" si="25"/>
        <v>0</v>
      </c>
      <c r="BN34" s="340">
        <f t="shared" si="25"/>
        <v>0</v>
      </c>
      <c r="BO34" s="304">
        <f t="shared" si="25"/>
        <v>0</v>
      </c>
      <c r="BP34" s="251">
        <f aca="true" t="shared" si="26" ref="BP34:BU34">SUM(BP35:BP36)</f>
        <v>0</v>
      </c>
      <c r="BQ34" s="251">
        <f t="shared" si="26"/>
        <v>0</v>
      </c>
      <c r="BR34" s="251">
        <f t="shared" si="26"/>
        <v>0</v>
      </c>
      <c r="BS34" s="342">
        <f t="shared" si="26"/>
        <v>0</v>
      </c>
      <c r="BT34" s="251">
        <f t="shared" si="26"/>
        <v>0</v>
      </c>
      <c r="BU34" s="251">
        <f t="shared" si="26"/>
        <v>0</v>
      </c>
      <c r="BV34" s="245"/>
      <c r="BX34" s="247"/>
      <c r="BY34" s="248"/>
    </row>
    <row r="35" spans="1:77" ht="63">
      <c r="A35" s="45" t="s">
        <v>57</v>
      </c>
      <c r="B35" s="228" t="s">
        <v>61</v>
      </c>
      <c r="C35" s="268"/>
      <c r="D35" s="249">
        <f aca="true" t="shared" si="27" ref="D35:J36">K35+R35+Y35+AF35</f>
        <v>0</v>
      </c>
      <c r="E35" s="249">
        <f t="shared" si="27"/>
        <v>0</v>
      </c>
      <c r="F35" s="249">
        <f t="shared" si="27"/>
        <v>0</v>
      </c>
      <c r="G35" s="249">
        <f t="shared" si="27"/>
        <v>0</v>
      </c>
      <c r="H35" s="249">
        <f t="shared" si="27"/>
        <v>0</v>
      </c>
      <c r="I35" s="249">
        <f t="shared" si="27"/>
        <v>0</v>
      </c>
      <c r="J35" s="249">
        <f t="shared" si="27"/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302">
        <v>0</v>
      </c>
      <c r="AJ35" s="302">
        <v>0</v>
      </c>
      <c r="AK35" s="302">
        <v>0</v>
      </c>
      <c r="AL35" s="302">
        <v>0</v>
      </c>
      <c r="AM35" s="303">
        <f aca="true" t="shared" si="28" ref="AM35:AS36">AT35+BA35+BH35+BO35</f>
        <v>0</v>
      </c>
      <c r="AN35" s="303">
        <f t="shared" si="28"/>
        <v>0</v>
      </c>
      <c r="AO35" s="303">
        <f t="shared" si="28"/>
        <v>0</v>
      </c>
      <c r="AP35" s="303">
        <f t="shared" si="28"/>
        <v>0</v>
      </c>
      <c r="AQ35" s="303">
        <f t="shared" si="28"/>
        <v>0</v>
      </c>
      <c r="AR35" s="303">
        <f t="shared" si="28"/>
        <v>0</v>
      </c>
      <c r="AS35" s="303">
        <f t="shared" si="28"/>
        <v>0</v>
      </c>
      <c r="AT35" s="302">
        <v>0</v>
      </c>
      <c r="AU35" s="302">
        <v>0</v>
      </c>
      <c r="AV35" s="302">
        <v>0</v>
      </c>
      <c r="AW35" s="302">
        <v>0</v>
      </c>
      <c r="AX35" s="302">
        <v>0</v>
      </c>
      <c r="AY35" s="302">
        <v>0</v>
      </c>
      <c r="AZ35" s="302">
        <v>0</v>
      </c>
      <c r="BA35" s="302">
        <v>0</v>
      </c>
      <c r="BB35" s="302">
        <v>0</v>
      </c>
      <c r="BC35" s="302">
        <v>0</v>
      </c>
      <c r="BD35" s="302">
        <v>0</v>
      </c>
      <c r="BE35" s="302">
        <v>0</v>
      </c>
      <c r="BF35" s="302">
        <v>0</v>
      </c>
      <c r="BG35" s="302">
        <v>0</v>
      </c>
      <c r="BH35" s="341">
        <v>0</v>
      </c>
      <c r="BI35" s="341">
        <v>0</v>
      </c>
      <c r="BJ35" s="341">
        <v>0</v>
      </c>
      <c r="BK35" s="341">
        <v>0</v>
      </c>
      <c r="BL35" s="341">
        <v>0</v>
      </c>
      <c r="BM35" s="341">
        <v>0</v>
      </c>
      <c r="BN35" s="341">
        <v>0</v>
      </c>
      <c r="BO35" s="302">
        <v>0</v>
      </c>
      <c r="BP35" s="250">
        <v>0</v>
      </c>
      <c r="BQ35" s="250">
        <v>0</v>
      </c>
      <c r="BR35" s="250">
        <v>0</v>
      </c>
      <c r="BS35" s="343">
        <v>0</v>
      </c>
      <c r="BT35" s="250">
        <v>0</v>
      </c>
      <c r="BU35" s="250">
        <v>0</v>
      </c>
      <c r="BV35" s="229"/>
      <c r="BX35" s="240"/>
      <c r="BY35" s="243"/>
    </row>
    <row r="36" spans="1:77" ht="31.5">
      <c r="A36" s="137" t="s">
        <v>60</v>
      </c>
      <c r="B36" s="228" t="s">
        <v>58</v>
      </c>
      <c r="C36" s="268"/>
      <c r="D36" s="249">
        <f t="shared" si="27"/>
        <v>0</v>
      </c>
      <c r="E36" s="249">
        <f t="shared" si="27"/>
        <v>0</v>
      </c>
      <c r="F36" s="249">
        <f t="shared" si="27"/>
        <v>0</v>
      </c>
      <c r="G36" s="249">
        <f t="shared" si="27"/>
        <v>0</v>
      </c>
      <c r="H36" s="249">
        <f t="shared" si="27"/>
        <v>0</v>
      </c>
      <c r="I36" s="249">
        <f t="shared" si="27"/>
        <v>0</v>
      </c>
      <c r="J36" s="249">
        <f t="shared" si="27"/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302">
        <v>0</v>
      </c>
      <c r="AJ36" s="302">
        <v>0</v>
      </c>
      <c r="AK36" s="302">
        <v>0</v>
      </c>
      <c r="AL36" s="302">
        <v>0</v>
      </c>
      <c r="AM36" s="303">
        <f t="shared" si="28"/>
        <v>0</v>
      </c>
      <c r="AN36" s="303">
        <f t="shared" si="28"/>
        <v>0</v>
      </c>
      <c r="AO36" s="303">
        <f t="shared" si="28"/>
        <v>0</v>
      </c>
      <c r="AP36" s="303">
        <f t="shared" si="28"/>
        <v>0</v>
      </c>
      <c r="AQ36" s="303">
        <f t="shared" si="28"/>
        <v>0</v>
      </c>
      <c r="AR36" s="303">
        <f t="shared" si="28"/>
        <v>0</v>
      </c>
      <c r="AS36" s="303">
        <f t="shared" si="28"/>
        <v>0</v>
      </c>
      <c r="AT36" s="302">
        <v>0</v>
      </c>
      <c r="AU36" s="302">
        <v>0</v>
      </c>
      <c r="AV36" s="302">
        <v>0</v>
      </c>
      <c r="AW36" s="302">
        <v>0</v>
      </c>
      <c r="AX36" s="302">
        <v>0</v>
      </c>
      <c r="AY36" s="302">
        <v>0</v>
      </c>
      <c r="AZ36" s="302">
        <v>0</v>
      </c>
      <c r="BA36" s="302">
        <v>0</v>
      </c>
      <c r="BB36" s="302">
        <v>0</v>
      </c>
      <c r="BC36" s="302">
        <v>0</v>
      </c>
      <c r="BD36" s="302">
        <v>0</v>
      </c>
      <c r="BE36" s="302">
        <v>0</v>
      </c>
      <c r="BF36" s="302">
        <v>0</v>
      </c>
      <c r="BG36" s="302">
        <v>0</v>
      </c>
      <c r="BH36" s="341">
        <v>0</v>
      </c>
      <c r="BI36" s="341">
        <v>0</v>
      </c>
      <c r="BJ36" s="341">
        <v>0</v>
      </c>
      <c r="BK36" s="341">
        <v>0</v>
      </c>
      <c r="BL36" s="341">
        <v>0</v>
      </c>
      <c r="BM36" s="341">
        <v>0</v>
      </c>
      <c r="BN36" s="341">
        <v>0</v>
      </c>
      <c r="BO36" s="302">
        <v>0</v>
      </c>
      <c r="BP36" s="250">
        <v>0</v>
      </c>
      <c r="BQ36" s="250">
        <v>0</v>
      </c>
      <c r="BR36" s="250">
        <v>0</v>
      </c>
      <c r="BS36" s="343">
        <v>0</v>
      </c>
      <c r="BT36" s="250">
        <v>0</v>
      </c>
      <c r="BU36" s="250">
        <v>0</v>
      </c>
      <c r="BV36" s="229"/>
      <c r="BX36" s="240"/>
      <c r="BY36" s="243"/>
    </row>
    <row r="37" spans="1:77" ht="52.5" customHeight="1">
      <c r="A37" s="49" t="s">
        <v>62</v>
      </c>
      <c r="B37" s="234" t="s">
        <v>223</v>
      </c>
      <c r="C37" s="268"/>
      <c r="D37" s="249">
        <f aca="true" t="shared" si="29" ref="D37:AI37">SUM(D38:D49)</f>
        <v>0</v>
      </c>
      <c r="E37" s="249">
        <f t="shared" si="29"/>
        <v>0</v>
      </c>
      <c r="F37" s="249">
        <f t="shared" si="29"/>
        <v>0</v>
      </c>
      <c r="G37" s="249">
        <f t="shared" si="29"/>
        <v>0</v>
      </c>
      <c r="H37" s="249">
        <f t="shared" si="29"/>
        <v>0</v>
      </c>
      <c r="I37" s="249">
        <f t="shared" si="29"/>
        <v>0</v>
      </c>
      <c r="J37" s="249">
        <f t="shared" si="29"/>
        <v>0</v>
      </c>
      <c r="K37" s="249">
        <f t="shared" si="29"/>
        <v>0</v>
      </c>
      <c r="L37" s="249">
        <f t="shared" si="29"/>
        <v>0</v>
      </c>
      <c r="M37" s="249">
        <f t="shared" si="29"/>
        <v>0</v>
      </c>
      <c r="N37" s="249">
        <f t="shared" si="29"/>
        <v>0</v>
      </c>
      <c r="O37" s="249">
        <f t="shared" si="29"/>
        <v>0</v>
      </c>
      <c r="P37" s="249">
        <f t="shared" si="29"/>
        <v>0</v>
      </c>
      <c r="Q37" s="249">
        <f t="shared" si="29"/>
        <v>0</v>
      </c>
      <c r="R37" s="249">
        <f t="shared" si="29"/>
        <v>0</v>
      </c>
      <c r="S37" s="249">
        <f t="shared" si="29"/>
        <v>0</v>
      </c>
      <c r="T37" s="249">
        <f t="shared" si="29"/>
        <v>0</v>
      </c>
      <c r="U37" s="249">
        <f t="shared" si="29"/>
        <v>0</v>
      </c>
      <c r="V37" s="249">
        <f t="shared" si="29"/>
        <v>0</v>
      </c>
      <c r="W37" s="249">
        <f t="shared" si="29"/>
        <v>0</v>
      </c>
      <c r="X37" s="249">
        <f t="shared" si="29"/>
        <v>0</v>
      </c>
      <c r="Y37" s="249">
        <f t="shared" si="29"/>
        <v>0</v>
      </c>
      <c r="Z37" s="249">
        <f t="shared" si="29"/>
        <v>0</v>
      </c>
      <c r="AA37" s="249">
        <f t="shared" si="29"/>
        <v>0</v>
      </c>
      <c r="AB37" s="249">
        <f t="shared" si="29"/>
        <v>0</v>
      </c>
      <c r="AC37" s="249">
        <f t="shared" si="29"/>
        <v>0</v>
      </c>
      <c r="AD37" s="249">
        <f t="shared" si="29"/>
        <v>0</v>
      </c>
      <c r="AE37" s="249">
        <f t="shared" si="29"/>
        <v>0</v>
      </c>
      <c r="AF37" s="249">
        <f t="shared" si="29"/>
        <v>0</v>
      </c>
      <c r="AG37" s="249">
        <f t="shared" si="29"/>
        <v>0</v>
      </c>
      <c r="AH37" s="249">
        <f t="shared" si="29"/>
        <v>0</v>
      </c>
      <c r="AI37" s="303">
        <f t="shared" si="29"/>
        <v>0</v>
      </c>
      <c r="AJ37" s="303">
        <f aca="true" t="shared" si="30" ref="AJ37:BO37">SUM(AJ38:AJ49)</f>
        <v>0</v>
      </c>
      <c r="AK37" s="303">
        <f t="shared" si="30"/>
        <v>0</v>
      </c>
      <c r="AL37" s="303">
        <f t="shared" si="30"/>
        <v>0</v>
      </c>
      <c r="AM37" s="303">
        <f t="shared" si="30"/>
        <v>0</v>
      </c>
      <c r="AN37" s="303">
        <f t="shared" si="30"/>
        <v>0</v>
      </c>
      <c r="AO37" s="303">
        <f t="shared" si="30"/>
        <v>0</v>
      </c>
      <c r="AP37" s="303">
        <f t="shared" si="30"/>
        <v>0</v>
      </c>
      <c r="AQ37" s="303">
        <f t="shared" si="30"/>
        <v>1.7296</v>
      </c>
      <c r="AR37" s="303">
        <f t="shared" si="30"/>
        <v>0</v>
      </c>
      <c r="AS37" s="303">
        <f t="shared" si="30"/>
        <v>0</v>
      </c>
      <c r="AT37" s="303">
        <f t="shared" si="30"/>
        <v>0</v>
      </c>
      <c r="AU37" s="303">
        <f t="shared" si="30"/>
        <v>0</v>
      </c>
      <c r="AV37" s="303">
        <f t="shared" si="30"/>
        <v>0</v>
      </c>
      <c r="AW37" s="303">
        <f t="shared" si="30"/>
        <v>0</v>
      </c>
      <c r="AX37" s="303">
        <f t="shared" si="30"/>
        <v>0</v>
      </c>
      <c r="AY37" s="303">
        <f t="shared" si="30"/>
        <v>0</v>
      </c>
      <c r="AZ37" s="303">
        <f t="shared" si="30"/>
        <v>0</v>
      </c>
      <c r="BA37" s="303">
        <f t="shared" si="30"/>
        <v>0</v>
      </c>
      <c r="BB37" s="303">
        <f t="shared" si="30"/>
        <v>0</v>
      </c>
      <c r="BC37" s="303">
        <f t="shared" si="30"/>
        <v>0</v>
      </c>
      <c r="BD37" s="303">
        <f t="shared" si="30"/>
        <v>0</v>
      </c>
      <c r="BE37" s="303">
        <f t="shared" si="30"/>
        <v>0</v>
      </c>
      <c r="BF37" s="303">
        <f t="shared" si="30"/>
        <v>0</v>
      </c>
      <c r="BG37" s="303">
        <f t="shared" si="30"/>
        <v>0</v>
      </c>
      <c r="BH37" s="341">
        <f t="shared" si="30"/>
        <v>0</v>
      </c>
      <c r="BI37" s="341">
        <f t="shared" si="30"/>
        <v>0</v>
      </c>
      <c r="BJ37" s="341">
        <f t="shared" si="30"/>
        <v>0</v>
      </c>
      <c r="BK37" s="341">
        <f t="shared" si="30"/>
        <v>0</v>
      </c>
      <c r="BL37" s="341">
        <f t="shared" si="30"/>
        <v>0</v>
      </c>
      <c r="BM37" s="341">
        <f t="shared" si="30"/>
        <v>0</v>
      </c>
      <c r="BN37" s="341">
        <f t="shared" si="30"/>
        <v>0</v>
      </c>
      <c r="BO37" s="303">
        <f t="shared" si="30"/>
        <v>0</v>
      </c>
      <c r="BP37" s="249">
        <f aca="true" t="shared" si="31" ref="BP37:BU37">SUM(BP38:BP49)</f>
        <v>0</v>
      </c>
      <c r="BQ37" s="249">
        <f t="shared" si="31"/>
        <v>0</v>
      </c>
      <c r="BR37" s="249">
        <f t="shared" si="31"/>
        <v>0</v>
      </c>
      <c r="BS37" s="303">
        <f t="shared" si="31"/>
        <v>1.7296</v>
      </c>
      <c r="BT37" s="249">
        <f t="shared" si="31"/>
        <v>0</v>
      </c>
      <c r="BU37" s="249">
        <f t="shared" si="31"/>
        <v>0</v>
      </c>
      <c r="BV37" s="229"/>
      <c r="BX37" s="240"/>
      <c r="BY37" s="243"/>
    </row>
    <row r="38" spans="1:77" ht="31.5">
      <c r="A38" s="45" t="s">
        <v>197</v>
      </c>
      <c r="B38" s="228" t="s">
        <v>65</v>
      </c>
      <c r="C38" s="268"/>
      <c r="D38" s="249">
        <f aca="true" t="shared" si="32" ref="D38:D49">K38+R38+Y38+AF38</f>
        <v>0</v>
      </c>
      <c r="E38" s="249">
        <f aca="true" t="shared" si="33" ref="E38:E49">L38+S38+Z38+AG38</f>
        <v>0</v>
      </c>
      <c r="F38" s="249">
        <f aca="true" t="shared" si="34" ref="F38:F49">M38+T38+AA38+AH38</f>
        <v>0</v>
      </c>
      <c r="G38" s="249">
        <f aca="true" t="shared" si="35" ref="G38:G49">N38+U38+AB38+AI38</f>
        <v>0</v>
      </c>
      <c r="H38" s="249">
        <f aca="true" t="shared" si="36" ref="H38:H49">O38+V38+AC38+AJ38</f>
        <v>0</v>
      </c>
      <c r="I38" s="249">
        <f aca="true" t="shared" si="37" ref="I38:I49">P38+W38+AD38+AK38</f>
        <v>0</v>
      </c>
      <c r="J38" s="249">
        <f aca="true" t="shared" si="38" ref="J38:J49">Q38+X38+AE38+AL38</f>
        <v>0</v>
      </c>
      <c r="K38" s="250">
        <v>0</v>
      </c>
      <c r="L38" s="250">
        <v>0</v>
      </c>
      <c r="M38" s="250">
        <v>0</v>
      </c>
      <c r="N38" s="250">
        <v>0</v>
      </c>
      <c r="O38" s="250">
        <v>0</v>
      </c>
      <c r="P38" s="250">
        <v>0</v>
      </c>
      <c r="Q38" s="250">
        <v>0</v>
      </c>
      <c r="R38" s="250">
        <v>0</v>
      </c>
      <c r="S38" s="250">
        <v>0</v>
      </c>
      <c r="T38" s="250">
        <v>0</v>
      </c>
      <c r="U38" s="250"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302">
        <v>0</v>
      </c>
      <c r="AJ38" s="302">
        <v>0</v>
      </c>
      <c r="AK38" s="302">
        <v>0</v>
      </c>
      <c r="AL38" s="302">
        <v>0</v>
      </c>
      <c r="AM38" s="303">
        <f aca="true" t="shared" si="39" ref="AM38:AM49">AT38+BA38+BH38+BO38</f>
        <v>0</v>
      </c>
      <c r="AN38" s="303">
        <f aca="true" t="shared" si="40" ref="AN38:AN49">AU38+BB38+BI38+BP38</f>
        <v>0</v>
      </c>
      <c r="AO38" s="303">
        <f aca="true" t="shared" si="41" ref="AO38:AO49">AV38+BC38+BJ38+BQ38</f>
        <v>0</v>
      </c>
      <c r="AP38" s="303">
        <f aca="true" t="shared" si="42" ref="AP38:AP49">AW38+BD38+BK38+BR38</f>
        <v>0</v>
      </c>
      <c r="AQ38" s="303">
        <f aca="true" t="shared" si="43" ref="AQ38:AQ49">AX38+BE38+BL38+BS38</f>
        <v>0</v>
      </c>
      <c r="AR38" s="303">
        <f aca="true" t="shared" si="44" ref="AR38:AR49">AY38+BF38+BM38+BT38</f>
        <v>0</v>
      </c>
      <c r="AS38" s="303">
        <f aca="true" t="shared" si="45" ref="AS38:AS49">AZ38+BG38+BN38+BU38</f>
        <v>0</v>
      </c>
      <c r="AT38" s="302">
        <v>0</v>
      </c>
      <c r="AU38" s="302">
        <v>0</v>
      </c>
      <c r="AV38" s="302">
        <v>0</v>
      </c>
      <c r="AW38" s="302">
        <v>0</v>
      </c>
      <c r="AX38" s="302">
        <v>0</v>
      </c>
      <c r="AY38" s="302">
        <v>0</v>
      </c>
      <c r="AZ38" s="302">
        <v>0</v>
      </c>
      <c r="BA38" s="302">
        <v>0</v>
      </c>
      <c r="BB38" s="302">
        <v>0</v>
      </c>
      <c r="BC38" s="302">
        <v>0</v>
      </c>
      <c r="BD38" s="302">
        <v>0</v>
      </c>
      <c r="BE38" s="302">
        <v>0</v>
      </c>
      <c r="BF38" s="302">
        <v>0</v>
      </c>
      <c r="BG38" s="302">
        <v>0</v>
      </c>
      <c r="BH38" s="341">
        <v>0</v>
      </c>
      <c r="BI38" s="341">
        <v>0</v>
      </c>
      <c r="BJ38" s="341">
        <v>0</v>
      </c>
      <c r="BK38" s="341">
        <v>0</v>
      </c>
      <c r="BL38" s="341">
        <v>0</v>
      </c>
      <c r="BM38" s="341">
        <v>0</v>
      </c>
      <c r="BN38" s="341">
        <v>0</v>
      </c>
      <c r="BO38" s="302">
        <v>0</v>
      </c>
      <c r="BP38" s="250">
        <v>0</v>
      </c>
      <c r="BQ38" s="250">
        <v>0</v>
      </c>
      <c r="BR38" s="250">
        <v>0</v>
      </c>
      <c r="BS38" s="343">
        <v>0</v>
      </c>
      <c r="BT38" s="250">
        <v>0</v>
      </c>
      <c r="BU38" s="250">
        <v>0</v>
      </c>
      <c r="BV38" s="229"/>
      <c r="BX38" s="240"/>
      <c r="BY38" s="243"/>
    </row>
    <row r="39" spans="1:77" ht="31.5">
      <c r="A39" s="45" t="s">
        <v>198</v>
      </c>
      <c r="B39" s="228" t="s">
        <v>68</v>
      </c>
      <c r="C39" s="268"/>
      <c r="D39" s="249">
        <f t="shared" si="32"/>
        <v>0</v>
      </c>
      <c r="E39" s="249">
        <f t="shared" si="33"/>
        <v>0</v>
      </c>
      <c r="F39" s="249">
        <f t="shared" si="34"/>
        <v>0</v>
      </c>
      <c r="G39" s="249">
        <f t="shared" si="35"/>
        <v>0</v>
      </c>
      <c r="H39" s="249">
        <f t="shared" si="36"/>
        <v>0</v>
      </c>
      <c r="I39" s="249">
        <f t="shared" si="37"/>
        <v>0</v>
      </c>
      <c r="J39" s="249">
        <f t="shared" si="38"/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0</v>
      </c>
      <c r="Q39" s="250">
        <v>0</v>
      </c>
      <c r="R39" s="250">
        <v>0</v>
      </c>
      <c r="S39" s="250">
        <v>0</v>
      </c>
      <c r="T39" s="250">
        <v>0</v>
      </c>
      <c r="U39" s="250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302">
        <v>0</v>
      </c>
      <c r="AJ39" s="302">
        <v>0</v>
      </c>
      <c r="AK39" s="302">
        <v>0</v>
      </c>
      <c r="AL39" s="302">
        <v>0</v>
      </c>
      <c r="AM39" s="303">
        <f t="shared" si="39"/>
        <v>0</v>
      </c>
      <c r="AN39" s="303">
        <f t="shared" si="40"/>
        <v>0</v>
      </c>
      <c r="AO39" s="303">
        <f t="shared" si="41"/>
        <v>0</v>
      </c>
      <c r="AP39" s="303">
        <f t="shared" si="42"/>
        <v>0</v>
      </c>
      <c r="AQ39" s="303">
        <f t="shared" si="43"/>
        <v>0</v>
      </c>
      <c r="AR39" s="303">
        <f t="shared" si="44"/>
        <v>0</v>
      </c>
      <c r="AS39" s="303">
        <f t="shared" si="45"/>
        <v>0</v>
      </c>
      <c r="AT39" s="302">
        <v>0</v>
      </c>
      <c r="AU39" s="302">
        <v>0</v>
      </c>
      <c r="AV39" s="302">
        <v>0</v>
      </c>
      <c r="AW39" s="302">
        <v>0</v>
      </c>
      <c r="AX39" s="302">
        <v>0</v>
      </c>
      <c r="AY39" s="302">
        <v>0</v>
      </c>
      <c r="AZ39" s="302">
        <v>0</v>
      </c>
      <c r="BA39" s="302">
        <v>0</v>
      </c>
      <c r="BB39" s="302">
        <v>0</v>
      </c>
      <c r="BC39" s="302">
        <v>0</v>
      </c>
      <c r="BD39" s="302">
        <v>0</v>
      </c>
      <c r="BE39" s="302">
        <v>0</v>
      </c>
      <c r="BF39" s="302">
        <v>0</v>
      </c>
      <c r="BG39" s="302">
        <v>0</v>
      </c>
      <c r="BH39" s="341">
        <v>0</v>
      </c>
      <c r="BI39" s="341">
        <v>0</v>
      </c>
      <c r="BJ39" s="341">
        <v>0</v>
      </c>
      <c r="BK39" s="341">
        <v>0</v>
      </c>
      <c r="BL39" s="341">
        <v>0</v>
      </c>
      <c r="BM39" s="341">
        <v>0</v>
      </c>
      <c r="BN39" s="341">
        <v>0</v>
      </c>
      <c r="BO39" s="302">
        <v>0</v>
      </c>
      <c r="BP39" s="250">
        <v>0</v>
      </c>
      <c r="BQ39" s="250">
        <v>0</v>
      </c>
      <c r="BR39" s="250">
        <v>0</v>
      </c>
      <c r="BS39" s="343">
        <v>0</v>
      </c>
      <c r="BT39" s="250">
        <v>0</v>
      </c>
      <c r="BU39" s="250">
        <v>0</v>
      </c>
      <c r="BV39" s="229"/>
      <c r="BX39" s="240"/>
      <c r="BY39" s="243"/>
    </row>
    <row r="40" spans="1:77" ht="31.5">
      <c r="A40" s="45" t="s">
        <v>199</v>
      </c>
      <c r="B40" s="228" t="s">
        <v>70</v>
      </c>
      <c r="C40" s="268"/>
      <c r="D40" s="249">
        <f t="shared" si="32"/>
        <v>0</v>
      </c>
      <c r="E40" s="249">
        <f t="shared" si="33"/>
        <v>0</v>
      </c>
      <c r="F40" s="249">
        <f t="shared" si="34"/>
        <v>0</v>
      </c>
      <c r="G40" s="249">
        <f t="shared" si="35"/>
        <v>0</v>
      </c>
      <c r="H40" s="249">
        <f t="shared" si="36"/>
        <v>0</v>
      </c>
      <c r="I40" s="249">
        <f t="shared" si="37"/>
        <v>0</v>
      </c>
      <c r="J40" s="249">
        <f t="shared" si="38"/>
        <v>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0</v>
      </c>
      <c r="T40" s="250">
        <v>0</v>
      </c>
      <c r="U40" s="250"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302">
        <v>0</v>
      </c>
      <c r="AJ40" s="302">
        <v>0</v>
      </c>
      <c r="AK40" s="302">
        <v>0</v>
      </c>
      <c r="AL40" s="302">
        <v>0</v>
      </c>
      <c r="AM40" s="303">
        <f t="shared" si="39"/>
        <v>0</v>
      </c>
      <c r="AN40" s="303">
        <f t="shared" si="40"/>
        <v>0</v>
      </c>
      <c r="AO40" s="303">
        <f t="shared" si="41"/>
        <v>0</v>
      </c>
      <c r="AP40" s="303">
        <f t="shared" si="42"/>
        <v>0</v>
      </c>
      <c r="AQ40" s="303">
        <f t="shared" si="43"/>
        <v>0</v>
      </c>
      <c r="AR40" s="303">
        <f t="shared" si="44"/>
        <v>0</v>
      </c>
      <c r="AS40" s="303">
        <f t="shared" si="45"/>
        <v>0</v>
      </c>
      <c r="AT40" s="302">
        <v>0</v>
      </c>
      <c r="AU40" s="302">
        <v>0</v>
      </c>
      <c r="AV40" s="302">
        <v>0</v>
      </c>
      <c r="AW40" s="302">
        <v>0</v>
      </c>
      <c r="AX40" s="302">
        <v>0</v>
      </c>
      <c r="AY40" s="302">
        <v>0</v>
      </c>
      <c r="AZ40" s="302">
        <v>0</v>
      </c>
      <c r="BA40" s="302">
        <v>0</v>
      </c>
      <c r="BB40" s="302">
        <v>0</v>
      </c>
      <c r="BC40" s="302">
        <v>0</v>
      </c>
      <c r="BD40" s="302">
        <v>0</v>
      </c>
      <c r="BE40" s="302">
        <v>0</v>
      </c>
      <c r="BF40" s="302">
        <v>0</v>
      </c>
      <c r="BG40" s="302">
        <v>0</v>
      </c>
      <c r="BH40" s="341">
        <v>0</v>
      </c>
      <c r="BI40" s="341">
        <v>0</v>
      </c>
      <c r="BJ40" s="341">
        <v>0</v>
      </c>
      <c r="BK40" s="341">
        <v>0</v>
      </c>
      <c r="BL40" s="341">
        <v>0</v>
      </c>
      <c r="BM40" s="341">
        <v>0</v>
      </c>
      <c r="BN40" s="341">
        <v>0</v>
      </c>
      <c r="BO40" s="302">
        <v>0</v>
      </c>
      <c r="BP40" s="250">
        <v>0</v>
      </c>
      <c r="BQ40" s="250">
        <v>0</v>
      </c>
      <c r="BR40" s="250">
        <v>0</v>
      </c>
      <c r="BS40" s="343">
        <v>0</v>
      </c>
      <c r="BT40" s="250">
        <v>0</v>
      </c>
      <c r="BU40" s="250">
        <v>0</v>
      </c>
      <c r="BV40" s="229"/>
      <c r="BX40" s="240"/>
      <c r="BY40" s="243"/>
    </row>
    <row r="41" spans="1:77" ht="31.5">
      <c r="A41" s="45" t="s">
        <v>200</v>
      </c>
      <c r="B41" s="228" t="s">
        <v>72</v>
      </c>
      <c r="C41" s="268"/>
      <c r="D41" s="249">
        <f t="shared" si="32"/>
        <v>0</v>
      </c>
      <c r="E41" s="249">
        <f t="shared" si="33"/>
        <v>0</v>
      </c>
      <c r="F41" s="249">
        <f t="shared" si="34"/>
        <v>0</v>
      </c>
      <c r="G41" s="249">
        <f t="shared" si="35"/>
        <v>0</v>
      </c>
      <c r="H41" s="249">
        <f t="shared" si="36"/>
        <v>0</v>
      </c>
      <c r="I41" s="249">
        <f t="shared" si="37"/>
        <v>0</v>
      </c>
      <c r="J41" s="249">
        <f t="shared" si="38"/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302">
        <v>0</v>
      </c>
      <c r="AJ41" s="302">
        <v>0</v>
      </c>
      <c r="AK41" s="302">
        <v>0</v>
      </c>
      <c r="AL41" s="302">
        <v>0</v>
      </c>
      <c r="AM41" s="303">
        <f t="shared" si="39"/>
        <v>0</v>
      </c>
      <c r="AN41" s="303">
        <f t="shared" si="40"/>
        <v>0</v>
      </c>
      <c r="AO41" s="303">
        <f t="shared" si="41"/>
        <v>0</v>
      </c>
      <c r="AP41" s="303">
        <f t="shared" si="42"/>
        <v>0</v>
      </c>
      <c r="AQ41" s="303">
        <f t="shared" si="43"/>
        <v>0</v>
      </c>
      <c r="AR41" s="303">
        <f t="shared" si="44"/>
        <v>0</v>
      </c>
      <c r="AS41" s="303">
        <f t="shared" si="45"/>
        <v>0</v>
      </c>
      <c r="AT41" s="302">
        <v>0</v>
      </c>
      <c r="AU41" s="302">
        <v>0</v>
      </c>
      <c r="AV41" s="302">
        <v>0</v>
      </c>
      <c r="AW41" s="302">
        <v>0</v>
      </c>
      <c r="AX41" s="302">
        <v>0</v>
      </c>
      <c r="AY41" s="302">
        <v>0</v>
      </c>
      <c r="AZ41" s="302">
        <v>0</v>
      </c>
      <c r="BA41" s="302">
        <v>0</v>
      </c>
      <c r="BB41" s="302">
        <v>0</v>
      </c>
      <c r="BC41" s="302">
        <v>0</v>
      </c>
      <c r="BD41" s="302">
        <v>0</v>
      </c>
      <c r="BE41" s="302">
        <v>0</v>
      </c>
      <c r="BF41" s="302">
        <v>0</v>
      </c>
      <c r="BG41" s="302">
        <v>0</v>
      </c>
      <c r="BH41" s="341">
        <v>0</v>
      </c>
      <c r="BI41" s="341">
        <v>0</v>
      </c>
      <c r="BJ41" s="341">
        <v>0</v>
      </c>
      <c r="BK41" s="341">
        <v>0</v>
      </c>
      <c r="BL41" s="341">
        <v>0</v>
      </c>
      <c r="BM41" s="341">
        <v>0</v>
      </c>
      <c r="BN41" s="341">
        <v>0</v>
      </c>
      <c r="BO41" s="302">
        <v>0</v>
      </c>
      <c r="BP41" s="250">
        <v>0</v>
      </c>
      <c r="BQ41" s="250">
        <v>0</v>
      </c>
      <c r="BR41" s="250">
        <v>0</v>
      </c>
      <c r="BS41" s="343">
        <v>0</v>
      </c>
      <c r="BT41" s="250">
        <v>0</v>
      </c>
      <c r="BU41" s="250">
        <v>0</v>
      </c>
      <c r="BV41" s="229"/>
      <c r="BX41" s="240"/>
      <c r="BY41" s="243"/>
    </row>
    <row r="42" spans="1:77" ht="31.5">
      <c r="A42" s="45" t="s">
        <v>201</v>
      </c>
      <c r="B42" s="228" t="s">
        <v>74</v>
      </c>
      <c r="C42" s="268"/>
      <c r="D42" s="249">
        <f t="shared" si="32"/>
        <v>0</v>
      </c>
      <c r="E42" s="249">
        <f t="shared" si="33"/>
        <v>0</v>
      </c>
      <c r="F42" s="249">
        <f t="shared" si="34"/>
        <v>0</v>
      </c>
      <c r="G42" s="249">
        <f t="shared" si="35"/>
        <v>0</v>
      </c>
      <c r="H42" s="249">
        <f t="shared" si="36"/>
        <v>0</v>
      </c>
      <c r="I42" s="249">
        <f t="shared" si="37"/>
        <v>0</v>
      </c>
      <c r="J42" s="249">
        <f t="shared" si="38"/>
        <v>0</v>
      </c>
      <c r="K42" s="250">
        <v>0</v>
      </c>
      <c r="L42" s="250">
        <v>0</v>
      </c>
      <c r="M42" s="250">
        <v>0</v>
      </c>
      <c r="N42" s="250">
        <v>0</v>
      </c>
      <c r="O42" s="250">
        <v>0</v>
      </c>
      <c r="P42" s="250">
        <v>0</v>
      </c>
      <c r="Q42" s="250">
        <v>0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302">
        <v>0</v>
      </c>
      <c r="AJ42" s="302">
        <v>0</v>
      </c>
      <c r="AK42" s="302">
        <v>0</v>
      </c>
      <c r="AL42" s="302">
        <v>0</v>
      </c>
      <c r="AM42" s="303">
        <f t="shared" si="39"/>
        <v>0</v>
      </c>
      <c r="AN42" s="303">
        <f t="shared" si="40"/>
        <v>0</v>
      </c>
      <c r="AO42" s="303">
        <f t="shared" si="41"/>
        <v>0</v>
      </c>
      <c r="AP42" s="303">
        <f t="shared" si="42"/>
        <v>0</v>
      </c>
      <c r="AQ42" s="303">
        <f t="shared" si="43"/>
        <v>0</v>
      </c>
      <c r="AR42" s="303">
        <f t="shared" si="44"/>
        <v>0</v>
      </c>
      <c r="AS42" s="303">
        <f t="shared" si="45"/>
        <v>0</v>
      </c>
      <c r="AT42" s="302">
        <v>0</v>
      </c>
      <c r="AU42" s="302">
        <v>0</v>
      </c>
      <c r="AV42" s="302">
        <v>0</v>
      </c>
      <c r="AW42" s="302">
        <v>0</v>
      </c>
      <c r="AX42" s="302">
        <v>0</v>
      </c>
      <c r="AY42" s="302">
        <v>0</v>
      </c>
      <c r="AZ42" s="302">
        <v>0</v>
      </c>
      <c r="BA42" s="302">
        <v>0</v>
      </c>
      <c r="BB42" s="302">
        <v>0</v>
      </c>
      <c r="BC42" s="302">
        <v>0</v>
      </c>
      <c r="BD42" s="302">
        <v>0</v>
      </c>
      <c r="BE42" s="302">
        <v>0</v>
      </c>
      <c r="BF42" s="302">
        <v>0</v>
      </c>
      <c r="BG42" s="302">
        <v>0</v>
      </c>
      <c r="BH42" s="341">
        <v>0</v>
      </c>
      <c r="BI42" s="341">
        <v>0</v>
      </c>
      <c r="BJ42" s="341">
        <v>0</v>
      </c>
      <c r="BK42" s="341">
        <v>0</v>
      </c>
      <c r="BL42" s="341">
        <v>0</v>
      </c>
      <c r="BM42" s="341">
        <v>0</v>
      </c>
      <c r="BN42" s="341">
        <v>0</v>
      </c>
      <c r="BO42" s="302">
        <v>0</v>
      </c>
      <c r="BP42" s="250">
        <v>0</v>
      </c>
      <c r="BQ42" s="250">
        <v>0</v>
      </c>
      <c r="BR42" s="250">
        <v>0</v>
      </c>
      <c r="BS42" s="343">
        <v>0</v>
      </c>
      <c r="BT42" s="250">
        <v>0</v>
      </c>
      <c r="BU42" s="250">
        <v>0</v>
      </c>
      <c r="BV42" s="229"/>
      <c r="BX42" s="240"/>
      <c r="BY42" s="243"/>
    </row>
    <row r="43" spans="1:77" ht="31.5">
      <c r="A43" s="45" t="s">
        <v>202</v>
      </c>
      <c r="B43" s="228" t="s">
        <v>76</v>
      </c>
      <c r="C43" s="268"/>
      <c r="D43" s="249">
        <f t="shared" si="32"/>
        <v>0</v>
      </c>
      <c r="E43" s="249">
        <f t="shared" si="33"/>
        <v>0</v>
      </c>
      <c r="F43" s="249">
        <f t="shared" si="34"/>
        <v>0</v>
      </c>
      <c r="G43" s="249">
        <f t="shared" si="35"/>
        <v>0</v>
      </c>
      <c r="H43" s="249">
        <f t="shared" si="36"/>
        <v>0</v>
      </c>
      <c r="I43" s="249">
        <f t="shared" si="37"/>
        <v>0</v>
      </c>
      <c r="J43" s="249">
        <f t="shared" si="38"/>
        <v>0</v>
      </c>
      <c r="K43" s="250">
        <v>0</v>
      </c>
      <c r="L43" s="250">
        <v>0</v>
      </c>
      <c r="M43" s="250">
        <v>0</v>
      </c>
      <c r="N43" s="250">
        <v>0</v>
      </c>
      <c r="O43" s="250">
        <v>0</v>
      </c>
      <c r="P43" s="250">
        <v>0</v>
      </c>
      <c r="Q43" s="250">
        <v>0</v>
      </c>
      <c r="R43" s="250">
        <v>0</v>
      </c>
      <c r="S43" s="250">
        <v>0</v>
      </c>
      <c r="T43" s="250">
        <v>0</v>
      </c>
      <c r="U43" s="250">
        <v>0</v>
      </c>
      <c r="V43" s="250">
        <v>0</v>
      </c>
      <c r="W43" s="250">
        <v>0</v>
      </c>
      <c r="X43" s="250">
        <v>0</v>
      </c>
      <c r="Y43" s="250">
        <v>0</v>
      </c>
      <c r="Z43" s="250">
        <v>0</v>
      </c>
      <c r="AA43" s="250">
        <v>0</v>
      </c>
      <c r="AB43" s="250">
        <v>0</v>
      </c>
      <c r="AC43" s="250">
        <v>0</v>
      </c>
      <c r="AD43" s="250">
        <v>0</v>
      </c>
      <c r="AE43" s="250">
        <v>0</v>
      </c>
      <c r="AF43" s="250">
        <v>0</v>
      </c>
      <c r="AG43" s="250">
        <v>0</v>
      </c>
      <c r="AH43" s="250">
        <v>0</v>
      </c>
      <c r="AI43" s="302">
        <v>0</v>
      </c>
      <c r="AJ43" s="302">
        <v>0</v>
      </c>
      <c r="AK43" s="302">
        <v>0</v>
      </c>
      <c r="AL43" s="302">
        <v>0</v>
      </c>
      <c r="AM43" s="303">
        <f t="shared" si="39"/>
        <v>0</v>
      </c>
      <c r="AN43" s="303">
        <f t="shared" si="40"/>
        <v>0</v>
      </c>
      <c r="AO43" s="303">
        <f t="shared" si="41"/>
        <v>0</v>
      </c>
      <c r="AP43" s="303">
        <f t="shared" si="42"/>
        <v>0</v>
      </c>
      <c r="AQ43" s="303">
        <f t="shared" si="43"/>
        <v>0</v>
      </c>
      <c r="AR43" s="303">
        <f t="shared" si="44"/>
        <v>0</v>
      </c>
      <c r="AS43" s="303">
        <f t="shared" si="45"/>
        <v>0</v>
      </c>
      <c r="AT43" s="302">
        <v>0</v>
      </c>
      <c r="AU43" s="302">
        <v>0</v>
      </c>
      <c r="AV43" s="302">
        <v>0</v>
      </c>
      <c r="AW43" s="302">
        <v>0</v>
      </c>
      <c r="AX43" s="302">
        <v>0</v>
      </c>
      <c r="AY43" s="302">
        <v>0</v>
      </c>
      <c r="AZ43" s="302">
        <v>0</v>
      </c>
      <c r="BA43" s="302">
        <v>0</v>
      </c>
      <c r="BB43" s="302">
        <v>0</v>
      </c>
      <c r="BC43" s="302">
        <v>0</v>
      </c>
      <c r="BD43" s="302">
        <v>0</v>
      </c>
      <c r="BE43" s="302">
        <v>0</v>
      </c>
      <c r="BF43" s="302">
        <v>0</v>
      </c>
      <c r="BG43" s="302">
        <v>0</v>
      </c>
      <c r="BH43" s="341">
        <v>0</v>
      </c>
      <c r="BI43" s="341">
        <v>0</v>
      </c>
      <c r="BJ43" s="341">
        <v>0</v>
      </c>
      <c r="BK43" s="341">
        <v>0</v>
      </c>
      <c r="BL43" s="341">
        <v>0</v>
      </c>
      <c r="BM43" s="341">
        <v>0</v>
      </c>
      <c r="BN43" s="341">
        <v>0</v>
      </c>
      <c r="BO43" s="302">
        <v>0</v>
      </c>
      <c r="BP43" s="250">
        <v>0</v>
      </c>
      <c r="BQ43" s="250">
        <v>0</v>
      </c>
      <c r="BR43" s="250">
        <v>0</v>
      </c>
      <c r="BS43" s="343">
        <v>0</v>
      </c>
      <c r="BT43" s="250">
        <v>0</v>
      </c>
      <c r="BU43" s="250">
        <v>0</v>
      </c>
      <c r="BV43" s="229"/>
      <c r="BX43" s="240"/>
      <c r="BY43" s="243"/>
    </row>
    <row r="44" spans="1:77" ht="31.5">
      <c r="A44" s="45" t="s">
        <v>203</v>
      </c>
      <c r="B44" s="228" t="s">
        <v>78</v>
      </c>
      <c r="C44" s="268"/>
      <c r="D44" s="249">
        <f t="shared" si="32"/>
        <v>0</v>
      </c>
      <c r="E44" s="249">
        <f t="shared" si="33"/>
        <v>0</v>
      </c>
      <c r="F44" s="249">
        <f t="shared" si="34"/>
        <v>0</v>
      </c>
      <c r="G44" s="249">
        <f t="shared" si="35"/>
        <v>0</v>
      </c>
      <c r="H44" s="249">
        <f t="shared" si="36"/>
        <v>0</v>
      </c>
      <c r="I44" s="249">
        <f t="shared" si="37"/>
        <v>0</v>
      </c>
      <c r="J44" s="249">
        <f t="shared" si="38"/>
        <v>0</v>
      </c>
      <c r="K44" s="250">
        <v>0</v>
      </c>
      <c r="L44" s="250">
        <v>0</v>
      </c>
      <c r="M44" s="250">
        <v>0</v>
      </c>
      <c r="N44" s="250">
        <v>0</v>
      </c>
      <c r="O44" s="250">
        <v>0</v>
      </c>
      <c r="P44" s="250">
        <v>0</v>
      </c>
      <c r="Q44" s="250">
        <v>0</v>
      </c>
      <c r="R44" s="250">
        <v>0</v>
      </c>
      <c r="S44" s="250">
        <v>0</v>
      </c>
      <c r="T44" s="250">
        <v>0</v>
      </c>
      <c r="U44" s="250">
        <v>0</v>
      </c>
      <c r="V44" s="250">
        <v>0</v>
      </c>
      <c r="W44" s="250">
        <v>0</v>
      </c>
      <c r="X44" s="250">
        <v>0</v>
      </c>
      <c r="Y44" s="250">
        <v>0</v>
      </c>
      <c r="Z44" s="250">
        <v>0</v>
      </c>
      <c r="AA44" s="250">
        <v>0</v>
      </c>
      <c r="AB44" s="250">
        <v>0</v>
      </c>
      <c r="AC44" s="250">
        <v>0</v>
      </c>
      <c r="AD44" s="250">
        <v>0</v>
      </c>
      <c r="AE44" s="250">
        <v>0</v>
      </c>
      <c r="AF44" s="250">
        <v>0</v>
      </c>
      <c r="AG44" s="250">
        <v>0</v>
      </c>
      <c r="AH44" s="250">
        <v>0</v>
      </c>
      <c r="AI44" s="302">
        <v>0</v>
      </c>
      <c r="AJ44" s="302">
        <v>0</v>
      </c>
      <c r="AK44" s="302">
        <v>0</v>
      </c>
      <c r="AL44" s="302">
        <v>0</v>
      </c>
      <c r="AM44" s="303">
        <f t="shared" si="39"/>
        <v>0</v>
      </c>
      <c r="AN44" s="303">
        <f t="shared" si="40"/>
        <v>0</v>
      </c>
      <c r="AO44" s="303">
        <f t="shared" si="41"/>
        <v>0</v>
      </c>
      <c r="AP44" s="303">
        <f t="shared" si="42"/>
        <v>0</v>
      </c>
      <c r="AQ44" s="303">
        <f t="shared" si="43"/>
        <v>0</v>
      </c>
      <c r="AR44" s="303">
        <f t="shared" si="44"/>
        <v>0</v>
      </c>
      <c r="AS44" s="303">
        <f t="shared" si="45"/>
        <v>0</v>
      </c>
      <c r="AT44" s="302">
        <v>0</v>
      </c>
      <c r="AU44" s="302">
        <v>0</v>
      </c>
      <c r="AV44" s="302">
        <v>0</v>
      </c>
      <c r="AW44" s="302">
        <v>0</v>
      </c>
      <c r="AX44" s="302">
        <v>0</v>
      </c>
      <c r="AY44" s="302">
        <v>0</v>
      </c>
      <c r="AZ44" s="302">
        <v>0</v>
      </c>
      <c r="BA44" s="302">
        <v>0</v>
      </c>
      <c r="BB44" s="302">
        <v>0</v>
      </c>
      <c r="BC44" s="302">
        <v>0</v>
      </c>
      <c r="BD44" s="302">
        <v>0</v>
      </c>
      <c r="BE44" s="302">
        <v>0</v>
      </c>
      <c r="BF44" s="302">
        <v>0</v>
      </c>
      <c r="BG44" s="302">
        <v>0</v>
      </c>
      <c r="BH44" s="341">
        <v>0</v>
      </c>
      <c r="BI44" s="341">
        <v>0</v>
      </c>
      <c r="BJ44" s="341">
        <v>0</v>
      </c>
      <c r="BK44" s="341">
        <v>0</v>
      </c>
      <c r="BL44" s="341">
        <v>0</v>
      </c>
      <c r="BM44" s="341">
        <v>0</v>
      </c>
      <c r="BN44" s="341">
        <v>0</v>
      </c>
      <c r="BO44" s="302">
        <v>0</v>
      </c>
      <c r="BP44" s="250">
        <v>0</v>
      </c>
      <c r="BQ44" s="250">
        <v>0</v>
      </c>
      <c r="BR44" s="250">
        <v>0</v>
      </c>
      <c r="BS44" s="343">
        <v>0</v>
      </c>
      <c r="BT44" s="250">
        <v>0</v>
      </c>
      <c r="BU44" s="250">
        <v>0</v>
      </c>
      <c r="BV44" s="229"/>
      <c r="BX44" s="240"/>
      <c r="BY44" s="243"/>
    </row>
    <row r="45" spans="1:77" ht="31.5">
      <c r="A45" s="45" t="s">
        <v>204</v>
      </c>
      <c r="B45" s="228" t="s">
        <v>80</v>
      </c>
      <c r="C45" s="268"/>
      <c r="D45" s="249">
        <f t="shared" si="32"/>
        <v>0</v>
      </c>
      <c r="E45" s="249">
        <f t="shared" si="33"/>
        <v>0</v>
      </c>
      <c r="F45" s="249">
        <f t="shared" si="34"/>
        <v>0</v>
      </c>
      <c r="G45" s="249">
        <f t="shared" si="35"/>
        <v>0</v>
      </c>
      <c r="H45" s="249">
        <f t="shared" si="36"/>
        <v>0</v>
      </c>
      <c r="I45" s="249">
        <f t="shared" si="37"/>
        <v>0</v>
      </c>
      <c r="J45" s="249">
        <f t="shared" si="38"/>
        <v>0</v>
      </c>
      <c r="K45" s="250">
        <v>0</v>
      </c>
      <c r="L45" s="250">
        <v>0</v>
      </c>
      <c r="M45" s="250">
        <v>0</v>
      </c>
      <c r="N45" s="250">
        <v>0</v>
      </c>
      <c r="O45" s="250">
        <v>0</v>
      </c>
      <c r="P45" s="250">
        <v>0</v>
      </c>
      <c r="Q45" s="250">
        <v>0</v>
      </c>
      <c r="R45" s="250">
        <v>0</v>
      </c>
      <c r="S45" s="250">
        <v>0</v>
      </c>
      <c r="T45" s="250">
        <v>0</v>
      </c>
      <c r="U45" s="250">
        <v>0</v>
      </c>
      <c r="V45" s="250">
        <v>0</v>
      </c>
      <c r="W45" s="250">
        <v>0</v>
      </c>
      <c r="X45" s="250">
        <v>0</v>
      </c>
      <c r="Y45" s="250">
        <v>0</v>
      </c>
      <c r="Z45" s="250">
        <v>0</v>
      </c>
      <c r="AA45" s="250">
        <v>0</v>
      </c>
      <c r="AB45" s="250"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250">
        <v>0</v>
      </c>
      <c r="AI45" s="302">
        <v>0</v>
      </c>
      <c r="AJ45" s="302">
        <v>0</v>
      </c>
      <c r="AK45" s="302">
        <v>0</v>
      </c>
      <c r="AL45" s="302">
        <v>0</v>
      </c>
      <c r="AM45" s="303">
        <f t="shared" si="39"/>
        <v>0</v>
      </c>
      <c r="AN45" s="303">
        <f t="shared" si="40"/>
        <v>0</v>
      </c>
      <c r="AO45" s="303">
        <f t="shared" si="41"/>
        <v>0</v>
      </c>
      <c r="AP45" s="303">
        <f t="shared" si="42"/>
        <v>0</v>
      </c>
      <c r="AQ45" s="303">
        <f t="shared" si="43"/>
        <v>0</v>
      </c>
      <c r="AR45" s="303">
        <f t="shared" si="44"/>
        <v>0</v>
      </c>
      <c r="AS45" s="303">
        <f t="shared" si="45"/>
        <v>0</v>
      </c>
      <c r="AT45" s="302">
        <v>0</v>
      </c>
      <c r="AU45" s="302">
        <v>0</v>
      </c>
      <c r="AV45" s="302">
        <v>0</v>
      </c>
      <c r="AW45" s="302">
        <v>0</v>
      </c>
      <c r="AX45" s="302">
        <v>0</v>
      </c>
      <c r="AY45" s="302">
        <v>0</v>
      </c>
      <c r="AZ45" s="302">
        <v>0</v>
      </c>
      <c r="BA45" s="302">
        <v>0</v>
      </c>
      <c r="BB45" s="302">
        <v>0</v>
      </c>
      <c r="BC45" s="302">
        <v>0</v>
      </c>
      <c r="BD45" s="302">
        <v>0</v>
      </c>
      <c r="BE45" s="302">
        <v>0</v>
      </c>
      <c r="BF45" s="302">
        <v>0</v>
      </c>
      <c r="BG45" s="302">
        <v>0</v>
      </c>
      <c r="BH45" s="341">
        <v>0</v>
      </c>
      <c r="BI45" s="341">
        <v>0</v>
      </c>
      <c r="BJ45" s="341">
        <v>0</v>
      </c>
      <c r="BK45" s="341">
        <v>0</v>
      </c>
      <c r="BL45" s="341">
        <v>0</v>
      </c>
      <c r="BM45" s="341">
        <v>0</v>
      </c>
      <c r="BN45" s="341">
        <v>0</v>
      </c>
      <c r="BO45" s="302">
        <v>0</v>
      </c>
      <c r="BP45" s="250">
        <v>0</v>
      </c>
      <c r="BQ45" s="250">
        <v>0</v>
      </c>
      <c r="BR45" s="250">
        <v>0</v>
      </c>
      <c r="BS45" s="343">
        <v>0</v>
      </c>
      <c r="BT45" s="250">
        <v>0</v>
      </c>
      <c r="BU45" s="250">
        <v>0</v>
      </c>
      <c r="BV45" s="229"/>
      <c r="BX45" s="240"/>
      <c r="BY45" s="243"/>
    </row>
    <row r="46" spans="1:77" ht="31.5">
      <c r="A46" s="45" t="s">
        <v>205</v>
      </c>
      <c r="B46" s="228" t="s">
        <v>82</v>
      </c>
      <c r="C46" s="268"/>
      <c r="D46" s="249">
        <f t="shared" si="32"/>
        <v>0</v>
      </c>
      <c r="E46" s="249">
        <f t="shared" si="33"/>
        <v>0</v>
      </c>
      <c r="F46" s="249">
        <f t="shared" si="34"/>
        <v>0</v>
      </c>
      <c r="G46" s="249">
        <f t="shared" si="35"/>
        <v>0</v>
      </c>
      <c r="H46" s="249">
        <f t="shared" si="36"/>
        <v>0</v>
      </c>
      <c r="I46" s="249">
        <f t="shared" si="37"/>
        <v>0</v>
      </c>
      <c r="J46" s="249">
        <f t="shared" si="38"/>
        <v>0</v>
      </c>
      <c r="K46" s="250">
        <v>0</v>
      </c>
      <c r="L46" s="250">
        <v>0</v>
      </c>
      <c r="M46" s="250">
        <v>0</v>
      </c>
      <c r="N46" s="250">
        <v>0</v>
      </c>
      <c r="O46" s="250">
        <v>0</v>
      </c>
      <c r="P46" s="250">
        <v>0</v>
      </c>
      <c r="Q46" s="250">
        <v>0</v>
      </c>
      <c r="R46" s="250">
        <v>0</v>
      </c>
      <c r="S46" s="250">
        <v>0</v>
      </c>
      <c r="T46" s="250">
        <v>0</v>
      </c>
      <c r="U46" s="250">
        <v>0</v>
      </c>
      <c r="V46" s="250">
        <v>0</v>
      </c>
      <c r="W46" s="250">
        <v>0</v>
      </c>
      <c r="X46" s="250">
        <v>0</v>
      </c>
      <c r="Y46" s="250">
        <v>0</v>
      </c>
      <c r="Z46" s="250">
        <v>0</v>
      </c>
      <c r="AA46" s="250">
        <v>0</v>
      </c>
      <c r="AB46" s="250">
        <v>0</v>
      </c>
      <c r="AC46" s="250">
        <v>0</v>
      </c>
      <c r="AD46" s="250">
        <v>0</v>
      </c>
      <c r="AE46" s="250">
        <v>0</v>
      </c>
      <c r="AF46" s="250">
        <v>0</v>
      </c>
      <c r="AG46" s="250">
        <v>0</v>
      </c>
      <c r="AH46" s="250">
        <v>0</v>
      </c>
      <c r="AI46" s="302">
        <v>0</v>
      </c>
      <c r="AJ46" s="302">
        <v>0</v>
      </c>
      <c r="AK46" s="302">
        <v>0</v>
      </c>
      <c r="AL46" s="302">
        <v>0</v>
      </c>
      <c r="AM46" s="303">
        <f t="shared" si="39"/>
        <v>0</v>
      </c>
      <c r="AN46" s="303">
        <f t="shared" si="40"/>
        <v>0</v>
      </c>
      <c r="AO46" s="303">
        <f t="shared" si="41"/>
        <v>0</v>
      </c>
      <c r="AP46" s="303">
        <f t="shared" si="42"/>
        <v>0</v>
      </c>
      <c r="AQ46" s="303">
        <f t="shared" si="43"/>
        <v>0</v>
      </c>
      <c r="AR46" s="303">
        <f t="shared" si="44"/>
        <v>0</v>
      </c>
      <c r="AS46" s="303">
        <f t="shared" si="45"/>
        <v>0</v>
      </c>
      <c r="AT46" s="302">
        <v>0</v>
      </c>
      <c r="AU46" s="302">
        <v>0</v>
      </c>
      <c r="AV46" s="302">
        <v>0</v>
      </c>
      <c r="AW46" s="302">
        <v>0</v>
      </c>
      <c r="AX46" s="302">
        <v>0</v>
      </c>
      <c r="AY46" s="302">
        <v>0</v>
      </c>
      <c r="AZ46" s="302">
        <v>0</v>
      </c>
      <c r="BA46" s="302">
        <v>0</v>
      </c>
      <c r="BB46" s="302">
        <v>0</v>
      </c>
      <c r="BC46" s="302">
        <v>0</v>
      </c>
      <c r="BD46" s="302">
        <v>0</v>
      </c>
      <c r="BE46" s="302">
        <v>0</v>
      </c>
      <c r="BF46" s="302">
        <v>0</v>
      </c>
      <c r="BG46" s="302">
        <v>0</v>
      </c>
      <c r="BH46" s="341">
        <v>0</v>
      </c>
      <c r="BI46" s="341">
        <v>0</v>
      </c>
      <c r="BJ46" s="341">
        <v>0</v>
      </c>
      <c r="BK46" s="341">
        <v>0</v>
      </c>
      <c r="BL46" s="341">
        <v>0</v>
      </c>
      <c r="BM46" s="341">
        <v>0</v>
      </c>
      <c r="BN46" s="341">
        <v>0</v>
      </c>
      <c r="BO46" s="302">
        <v>0</v>
      </c>
      <c r="BP46" s="250">
        <v>0</v>
      </c>
      <c r="BQ46" s="250">
        <v>0</v>
      </c>
      <c r="BR46" s="250">
        <v>0</v>
      </c>
      <c r="BS46" s="343">
        <v>0</v>
      </c>
      <c r="BT46" s="250">
        <v>0</v>
      </c>
      <c r="BU46" s="250">
        <v>0</v>
      </c>
      <c r="BV46" s="229"/>
      <c r="BX46" s="240"/>
      <c r="BY46" s="243"/>
    </row>
    <row r="47" spans="1:77" ht="47.25">
      <c r="A47" s="45"/>
      <c r="B47" s="228" t="s">
        <v>84</v>
      </c>
      <c r="C47" s="268"/>
      <c r="D47" s="249">
        <f t="shared" si="32"/>
        <v>0</v>
      </c>
      <c r="E47" s="249">
        <f t="shared" si="33"/>
        <v>0</v>
      </c>
      <c r="F47" s="249">
        <f t="shared" si="34"/>
        <v>0</v>
      </c>
      <c r="G47" s="249">
        <f t="shared" si="35"/>
        <v>0</v>
      </c>
      <c r="H47" s="249">
        <f t="shared" si="36"/>
        <v>0</v>
      </c>
      <c r="I47" s="249">
        <f t="shared" si="37"/>
        <v>0</v>
      </c>
      <c r="J47" s="249">
        <f t="shared" si="38"/>
        <v>0</v>
      </c>
      <c r="K47" s="250">
        <v>0</v>
      </c>
      <c r="L47" s="250">
        <v>0</v>
      </c>
      <c r="M47" s="250">
        <v>0</v>
      </c>
      <c r="N47" s="250">
        <v>0</v>
      </c>
      <c r="O47" s="250">
        <v>0</v>
      </c>
      <c r="P47" s="250">
        <v>0</v>
      </c>
      <c r="Q47" s="250">
        <v>0</v>
      </c>
      <c r="R47" s="250">
        <v>0</v>
      </c>
      <c r="S47" s="250">
        <v>0</v>
      </c>
      <c r="T47" s="250">
        <v>0</v>
      </c>
      <c r="U47" s="250">
        <v>0</v>
      </c>
      <c r="V47" s="250">
        <v>0</v>
      </c>
      <c r="W47" s="250">
        <v>0</v>
      </c>
      <c r="X47" s="250">
        <v>0</v>
      </c>
      <c r="Y47" s="250">
        <v>0</v>
      </c>
      <c r="Z47" s="250">
        <v>0</v>
      </c>
      <c r="AA47" s="250">
        <v>0</v>
      </c>
      <c r="AB47" s="250">
        <v>0</v>
      </c>
      <c r="AC47" s="250">
        <v>0</v>
      </c>
      <c r="AD47" s="250">
        <v>0</v>
      </c>
      <c r="AE47" s="250">
        <v>0</v>
      </c>
      <c r="AF47" s="250">
        <v>0</v>
      </c>
      <c r="AG47" s="250">
        <v>0</v>
      </c>
      <c r="AH47" s="250">
        <v>0</v>
      </c>
      <c r="AI47" s="302">
        <v>0</v>
      </c>
      <c r="AJ47" s="302">
        <v>0</v>
      </c>
      <c r="AK47" s="302">
        <v>0</v>
      </c>
      <c r="AL47" s="302">
        <v>0</v>
      </c>
      <c r="AM47" s="303">
        <f t="shared" si="39"/>
        <v>0</v>
      </c>
      <c r="AN47" s="303">
        <f t="shared" si="40"/>
        <v>0</v>
      </c>
      <c r="AO47" s="303">
        <f t="shared" si="41"/>
        <v>0</v>
      </c>
      <c r="AP47" s="303">
        <f t="shared" si="42"/>
        <v>0</v>
      </c>
      <c r="AQ47" s="303">
        <f t="shared" si="43"/>
        <v>1.7296</v>
      </c>
      <c r="AR47" s="303">
        <f t="shared" si="44"/>
        <v>0</v>
      </c>
      <c r="AS47" s="303">
        <f t="shared" si="45"/>
        <v>0</v>
      </c>
      <c r="AT47" s="302">
        <v>0</v>
      </c>
      <c r="AU47" s="302">
        <v>0</v>
      </c>
      <c r="AV47" s="302">
        <v>0</v>
      </c>
      <c r="AW47" s="302">
        <v>0</v>
      </c>
      <c r="AX47" s="302">
        <v>0</v>
      </c>
      <c r="AY47" s="302">
        <v>0</v>
      </c>
      <c r="AZ47" s="302">
        <v>0</v>
      </c>
      <c r="BA47" s="302">
        <v>0</v>
      </c>
      <c r="BB47" s="302">
        <v>0</v>
      </c>
      <c r="BC47" s="302">
        <v>0</v>
      </c>
      <c r="BD47" s="302">
        <v>0</v>
      </c>
      <c r="BE47" s="302">
        <v>0</v>
      </c>
      <c r="BF47" s="302">
        <v>0</v>
      </c>
      <c r="BG47" s="302">
        <v>0</v>
      </c>
      <c r="BH47" s="341">
        <v>0</v>
      </c>
      <c r="BI47" s="341">
        <v>0</v>
      </c>
      <c r="BJ47" s="341">
        <v>0</v>
      </c>
      <c r="BK47" s="341">
        <v>0</v>
      </c>
      <c r="BL47" s="341">
        <v>0</v>
      </c>
      <c r="BM47" s="341">
        <v>0</v>
      </c>
      <c r="BN47" s="341">
        <v>0</v>
      </c>
      <c r="BO47" s="302">
        <v>0</v>
      </c>
      <c r="BP47" s="250">
        <v>0</v>
      </c>
      <c r="BQ47" s="250">
        <v>0</v>
      </c>
      <c r="BR47" s="250">
        <v>0</v>
      </c>
      <c r="BS47" s="343">
        <v>1.7296</v>
      </c>
      <c r="BT47" s="250">
        <v>0</v>
      </c>
      <c r="BU47" s="250">
        <v>0</v>
      </c>
      <c r="BV47" s="229"/>
      <c r="BX47" s="240"/>
      <c r="BY47" s="243"/>
    </row>
    <row r="48" spans="1:77" ht="31.5">
      <c r="A48" s="45" t="s">
        <v>206</v>
      </c>
      <c r="B48" s="228" t="s">
        <v>86</v>
      </c>
      <c r="C48" s="268"/>
      <c r="D48" s="249">
        <f t="shared" si="32"/>
        <v>0</v>
      </c>
      <c r="E48" s="249">
        <f t="shared" si="33"/>
        <v>0</v>
      </c>
      <c r="F48" s="249">
        <f t="shared" si="34"/>
        <v>0</v>
      </c>
      <c r="G48" s="249">
        <f t="shared" si="35"/>
        <v>0</v>
      </c>
      <c r="H48" s="249">
        <f t="shared" si="36"/>
        <v>0</v>
      </c>
      <c r="I48" s="249">
        <f t="shared" si="37"/>
        <v>0</v>
      </c>
      <c r="J48" s="249">
        <f t="shared" si="38"/>
        <v>0</v>
      </c>
      <c r="K48" s="250">
        <v>0</v>
      </c>
      <c r="L48" s="250">
        <v>0</v>
      </c>
      <c r="M48" s="250">
        <v>0</v>
      </c>
      <c r="N48" s="250">
        <v>0</v>
      </c>
      <c r="O48" s="250">
        <v>0</v>
      </c>
      <c r="P48" s="250">
        <v>0</v>
      </c>
      <c r="Q48" s="250">
        <v>0</v>
      </c>
      <c r="R48" s="250">
        <v>0</v>
      </c>
      <c r="S48" s="250">
        <v>0</v>
      </c>
      <c r="T48" s="250">
        <v>0</v>
      </c>
      <c r="U48" s="250">
        <v>0</v>
      </c>
      <c r="V48" s="250">
        <v>0</v>
      </c>
      <c r="W48" s="250">
        <v>0</v>
      </c>
      <c r="X48" s="250">
        <v>0</v>
      </c>
      <c r="Y48" s="250">
        <v>0</v>
      </c>
      <c r="Z48" s="250">
        <v>0</v>
      </c>
      <c r="AA48" s="250">
        <v>0</v>
      </c>
      <c r="AB48" s="250">
        <v>0</v>
      </c>
      <c r="AC48" s="250">
        <v>0</v>
      </c>
      <c r="AD48" s="250">
        <v>0</v>
      </c>
      <c r="AE48" s="250">
        <v>0</v>
      </c>
      <c r="AF48" s="250">
        <v>0</v>
      </c>
      <c r="AG48" s="250">
        <v>0</v>
      </c>
      <c r="AH48" s="250">
        <v>0</v>
      </c>
      <c r="AI48" s="302">
        <v>0</v>
      </c>
      <c r="AJ48" s="302">
        <v>0</v>
      </c>
      <c r="AK48" s="302">
        <v>0</v>
      </c>
      <c r="AL48" s="302">
        <v>0</v>
      </c>
      <c r="AM48" s="303">
        <f t="shared" si="39"/>
        <v>0</v>
      </c>
      <c r="AN48" s="303">
        <f t="shared" si="40"/>
        <v>0</v>
      </c>
      <c r="AO48" s="303">
        <f t="shared" si="41"/>
        <v>0</v>
      </c>
      <c r="AP48" s="303">
        <f t="shared" si="42"/>
        <v>0</v>
      </c>
      <c r="AQ48" s="303">
        <f t="shared" si="43"/>
        <v>0</v>
      </c>
      <c r="AR48" s="303">
        <f t="shared" si="44"/>
        <v>0</v>
      </c>
      <c r="AS48" s="303">
        <f t="shared" si="45"/>
        <v>0</v>
      </c>
      <c r="AT48" s="302">
        <v>0</v>
      </c>
      <c r="AU48" s="302">
        <v>0</v>
      </c>
      <c r="AV48" s="302">
        <v>0</v>
      </c>
      <c r="AW48" s="302">
        <v>0</v>
      </c>
      <c r="AX48" s="302">
        <v>0</v>
      </c>
      <c r="AY48" s="302">
        <v>0</v>
      </c>
      <c r="AZ48" s="302">
        <v>0</v>
      </c>
      <c r="BA48" s="302">
        <v>0</v>
      </c>
      <c r="BB48" s="302">
        <v>0</v>
      </c>
      <c r="BC48" s="302">
        <v>0</v>
      </c>
      <c r="BD48" s="302">
        <v>0</v>
      </c>
      <c r="BE48" s="302">
        <v>0</v>
      </c>
      <c r="BF48" s="302">
        <v>0</v>
      </c>
      <c r="BG48" s="302">
        <v>0</v>
      </c>
      <c r="BH48" s="341">
        <v>0</v>
      </c>
      <c r="BI48" s="341">
        <v>0</v>
      </c>
      <c r="BJ48" s="341">
        <v>0</v>
      </c>
      <c r="BK48" s="341">
        <v>0</v>
      </c>
      <c r="BL48" s="341">
        <v>0</v>
      </c>
      <c r="BM48" s="341">
        <v>0</v>
      </c>
      <c r="BN48" s="341">
        <v>0</v>
      </c>
      <c r="BO48" s="302">
        <v>0</v>
      </c>
      <c r="BP48" s="250">
        <v>0</v>
      </c>
      <c r="BQ48" s="250">
        <v>0</v>
      </c>
      <c r="BR48" s="250">
        <v>0</v>
      </c>
      <c r="BS48" s="343">
        <v>0</v>
      </c>
      <c r="BT48" s="250">
        <v>0</v>
      </c>
      <c r="BU48" s="250">
        <v>0</v>
      </c>
      <c r="BV48" s="229"/>
      <c r="BX48" s="240"/>
      <c r="BY48" s="243"/>
    </row>
    <row r="49" spans="1:77" ht="31.5">
      <c r="A49" s="45" t="s">
        <v>207</v>
      </c>
      <c r="B49" s="228" t="s">
        <v>88</v>
      </c>
      <c r="C49" s="268"/>
      <c r="D49" s="249">
        <f t="shared" si="32"/>
        <v>0</v>
      </c>
      <c r="E49" s="249">
        <f t="shared" si="33"/>
        <v>0</v>
      </c>
      <c r="F49" s="249">
        <f t="shared" si="34"/>
        <v>0</v>
      </c>
      <c r="G49" s="249">
        <f t="shared" si="35"/>
        <v>0</v>
      </c>
      <c r="H49" s="249">
        <f t="shared" si="36"/>
        <v>0</v>
      </c>
      <c r="I49" s="249">
        <f t="shared" si="37"/>
        <v>0</v>
      </c>
      <c r="J49" s="249">
        <f t="shared" si="38"/>
        <v>0</v>
      </c>
      <c r="K49" s="250">
        <v>0</v>
      </c>
      <c r="L49" s="250">
        <v>0</v>
      </c>
      <c r="M49" s="250">
        <v>0</v>
      </c>
      <c r="N49" s="250">
        <v>0</v>
      </c>
      <c r="O49" s="250">
        <v>0</v>
      </c>
      <c r="P49" s="250">
        <v>0</v>
      </c>
      <c r="Q49" s="250">
        <v>0</v>
      </c>
      <c r="R49" s="250">
        <v>0</v>
      </c>
      <c r="S49" s="250">
        <v>0</v>
      </c>
      <c r="T49" s="250">
        <v>0</v>
      </c>
      <c r="U49" s="250">
        <v>0</v>
      </c>
      <c r="V49" s="250">
        <v>0</v>
      </c>
      <c r="W49" s="250">
        <v>0</v>
      </c>
      <c r="X49" s="250">
        <v>0</v>
      </c>
      <c r="Y49" s="250">
        <v>0</v>
      </c>
      <c r="Z49" s="250">
        <v>0</v>
      </c>
      <c r="AA49" s="250">
        <v>0</v>
      </c>
      <c r="AB49" s="250">
        <v>0</v>
      </c>
      <c r="AC49" s="250">
        <v>0</v>
      </c>
      <c r="AD49" s="250">
        <v>0</v>
      </c>
      <c r="AE49" s="250">
        <v>0</v>
      </c>
      <c r="AF49" s="250">
        <v>0</v>
      </c>
      <c r="AG49" s="250">
        <v>0</v>
      </c>
      <c r="AH49" s="250">
        <v>0</v>
      </c>
      <c r="AI49" s="302">
        <v>0</v>
      </c>
      <c r="AJ49" s="302">
        <v>0</v>
      </c>
      <c r="AK49" s="302">
        <v>0</v>
      </c>
      <c r="AL49" s="302">
        <v>0</v>
      </c>
      <c r="AM49" s="303">
        <f t="shared" si="39"/>
        <v>0</v>
      </c>
      <c r="AN49" s="303">
        <f t="shared" si="40"/>
        <v>0</v>
      </c>
      <c r="AO49" s="303">
        <f t="shared" si="41"/>
        <v>0</v>
      </c>
      <c r="AP49" s="303">
        <f t="shared" si="42"/>
        <v>0</v>
      </c>
      <c r="AQ49" s="303">
        <f t="shared" si="43"/>
        <v>0</v>
      </c>
      <c r="AR49" s="303">
        <f t="shared" si="44"/>
        <v>0</v>
      </c>
      <c r="AS49" s="303">
        <f t="shared" si="45"/>
        <v>0</v>
      </c>
      <c r="AT49" s="302">
        <v>0</v>
      </c>
      <c r="AU49" s="302">
        <v>0</v>
      </c>
      <c r="AV49" s="302">
        <v>0</v>
      </c>
      <c r="AW49" s="302">
        <v>0</v>
      </c>
      <c r="AX49" s="302">
        <v>0</v>
      </c>
      <c r="AY49" s="302">
        <v>0</v>
      </c>
      <c r="AZ49" s="302">
        <v>0</v>
      </c>
      <c r="BA49" s="302">
        <v>0</v>
      </c>
      <c r="BB49" s="302">
        <v>0</v>
      </c>
      <c r="BC49" s="302">
        <v>0</v>
      </c>
      <c r="BD49" s="302">
        <v>0</v>
      </c>
      <c r="BE49" s="302">
        <v>0</v>
      </c>
      <c r="BF49" s="302">
        <v>0</v>
      </c>
      <c r="BG49" s="302">
        <v>0</v>
      </c>
      <c r="BH49" s="341">
        <v>0</v>
      </c>
      <c r="BI49" s="341">
        <v>0</v>
      </c>
      <c r="BJ49" s="341">
        <v>0</v>
      </c>
      <c r="BK49" s="341">
        <v>0</v>
      </c>
      <c r="BL49" s="341">
        <v>0</v>
      </c>
      <c r="BM49" s="341">
        <v>0</v>
      </c>
      <c r="BN49" s="341">
        <v>0</v>
      </c>
      <c r="BO49" s="302">
        <v>0</v>
      </c>
      <c r="BP49" s="250">
        <v>0</v>
      </c>
      <c r="BQ49" s="250">
        <v>0</v>
      </c>
      <c r="BR49" s="250">
        <v>0</v>
      </c>
      <c r="BS49" s="343">
        <v>0</v>
      </c>
      <c r="BT49" s="250">
        <v>0</v>
      </c>
      <c r="BU49" s="250">
        <v>0</v>
      </c>
      <c r="BV49" s="229"/>
      <c r="BX49" s="240"/>
      <c r="BY49" s="243"/>
    </row>
    <row r="50" spans="1:77" ht="63">
      <c r="A50" s="49" t="s">
        <v>165</v>
      </c>
      <c r="B50" s="235" t="s">
        <v>90</v>
      </c>
      <c r="C50" s="268"/>
      <c r="D50" s="249">
        <f aca="true" t="shared" si="46" ref="D50:AI50">SUM(D51:D53)</f>
        <v>0</v>
      </c>
      <c r="E50" s="249">
        <f t="shared" si="46"/>
        <v>0</v>
      </c>
      <c r="F50" s="249">
        <f t="shared" si="46"/>
        <v>0</v>
      </c>
      <c r="G50" s="249">
        <f t="shared" si="46"/>
        <v>0</v>
      </c>
      <c r="H50" s="249">
        <f t="shared" si="46"/>
        <v>0</v>
      </c>
      <c r="I50" s="249">
        <f t="shared" si="46"/>
        <v>0</v>
      </c>
      <c r="J50" s="249">
        <f t="shared" si="46"/>
        <v>0</v>
      </c>
      <c r="K50" s="249">
        <f t="shared" si="46"/>
        <v>0</v>
      </c>
      <c r="L50" s="249">
        <f t="shared" si="46"/>
        <v>0</v>
      </c>
      <c r="M50" s="249">
        <f t="shared" si="46"/>
        <v>0</v>
      </c>
      <c r="N50" s="249">
        <f t="shared" si="46"/>
        <v>0</v>
      </c>
      <c r="O50" s="249">
        <f t="shared" si="46"/>
        <v>0</v>
      </c>
      <c r="P50" s="249">
        <f t="shared" si="46"/>
        <v>0</v>
      </c>
      <c r="Q50" s="249">
        <f t="shared" si="46"/>
        <v>0</v>
      </c>
      <c r="R50" s="249">
        <f t="shared" si="46"/>
        <v>0</v>
      </c>
      <c r="S50" s="249">
        <f t="shared" si="46"/>
        <v>0</v>
      </c>
      <c r="T50" s="249">
        <f t="shared" si="46"/>
        <v>0</v>
      </c>
      <c r="U50" s="249">
        <f t="shared" si="46"/>
        <v>0</v>
      </c>
      <c r="V50" s="249">
        <f t="shared" si="46"/>
        <v>0</v>
      </c>
      <c r="W50" s="249">
        <f t="shared" si="46"/>
        <v>0</v>
      </c>
      <c r="X50" s="249">
        <f t="shared" si="46"/>
        <v>0</v>
      </c>
      <c r="Y50" s="249">
        <f t="shared" si="46"/>
        <v>0</v>
      </c>
      <c r="Z50" s="249">
        <f t="shared" si="46"/>
        <v>0</v>
      </c>
      <c r="AA50" s="249">
        <f t="shared" si="46"/>
        <v>0</v>
      </c>
      <c r="AB50" s="249">
        <f t="shared" si="46"/>
        <v>0</v>
      </c>
      <c r="AC50" s="249">
        <f t="shared" si="46"/>
        <v>0</v>
      </c>
      <c r="AD50" s="249">
        <f t="shared" si="46"/>
        <v>0</v>
      </c>
      <c r="AE50" s="249">
        <f t="shared" si="46"/>
        <v>0</v>
      </c>
      <c r="AF50" s="249">
        <f t="shared" si="46"/>
        <v>0</v>
      </c>
      <c r="AG50" s="249">
        <f t="shared" si="46"/>
        <v>0</v>
      </c>
      <c r="AH50" s="249">
        <f t="shared" si="46"/>
        <v>0</v>
      </c>
      <c r="AI50" s="303">
        <f t="shared" si="46"/>
        <v>0</v>
      </c>
      <c r="AJ50" s="303">
        <f aca="true" t="shared" si="47" ref="AJ50:BG50">SUM(AJ51:AJ53)</f>
        <v>0</v>
      </c>
      <c r="AK50" s="303">
        <f t="shared" si="47"/>
        <v>0</v>
      </c>
      <c r="AL50" s="303">
        <f t="shared" si="47"/>
        <v>0</v>
      </c>
      <c r="AM50" s="303">
        <f t="shared" si="47"/>
        <v>1.03</v>
      </c>
      <c r="AN50" s="303">
        <f t="shared" si="47"/>
        <v>0</v>
      </c>
      <c r="AO50" s="303">
        <f t="shared" si="47"/>
        <v>0</v>
      </c>
      <c r="AP50" s="303">
        <f t="shared" si="47"/>
        <v>0</v>
      </c>
      <c r="AQ50" s="303">
        <f t="shared" si="47"/>
        <v>0</v>
      </c>
      <c r="AR50" s="303">
        <f t="shared" si="47"/>
        <v>0</v>
      </c>
      <c r="AS50" s="303">
        <f t="shared" si="47"/>
        <v>0</v>
      </c>
      <c r="AT50" s="303">
        <f t="shared" si="47"/>
        <v>0</v>
      </c>
      <c r="AU50" s="303">
        <f t="shared" si="47"/>
        <v>0</v>
      </c>
      <c r="AV50" s="303">
        <f t="shared" si="47"/>
        <v>0</v>
      </c>
      <c r="AW50" s="303">
        <f t="shared" si="47"/>
        <v>0</v>
      </c>
      <c r="AX50" s="303">
        <f t="shared" si="47"/>
        <v>0</v>
      </c>
      <c r="AY50" s="303">
        <f t="shared" si="47"/>
        <v>0</v>
      </c>
      <c r="AZ50" s="303">
        <f t="shared" si="47"/>
        <v>0</v>
      </c>
      <c r="BA50" s="303">
        <f t="shared" si="47"/>
        <v>0</v>
      </c>
      <c r="BB50" s="303">
        <f t="shared" si="47"/>
        <v>0</v>
      </c>
      <c r="BC50" s="303">
        <f t="shared" si="47"/>
        <v>0</v>
      </c>
      <c r="BD50" s="303">
        <f t="shared" si="47"/>
        <v>0</v>
      </c>
      <c r="BE50" s="303">
        <f t="shared" si="47"/>
        <v>0</v>
      </c>
      <c r="BF50" s="303">
        <f t="shared" si="47"/>
        <v>0</v>
      </c>
      <c r="BG50" s="303">
        <f t="shared" si="47"/>
        <v>0</v>
      </c>
      <c r="BH50" s="341">
        <f>SUM(BH51:BH55)</f>
        <v>1.03</v>
      </c>
      <c r="BI50" s="341">
        <f aca="true" t="shared" si="48" ref="BI50:BR50">SUM(BI51:BI53)</f>
        <v>0</v>
      </c>
      <c r="BJ50" s="341">
        <f t="shared" si="48"/>
        <v>0</v>
      </c>
      <c r="BK50" s="341">
        <f t="shared" si="48"/>
        <v>0</v>
      </c>
      <c r="BL50" s="341">
        <f t="shared" si="48"/>
        <v>0</v>
      </c>
      <c r="BM50" s="341">
        <f t="shared" si="48"/>
        <v>0</v>
      </c>
      <c r="BN50" s="341">
        <f t="shared" si="48"/>
        <v>0</v>
      </c>
      <c r="BO50" s="303">
        <f t="shared" si="48"/>
        <v>0</v>
      </c>
      <c r="BP50" s="249">
        <f t="shared" si="48"/>
        <v>0</v>
      </c>
      <c r="BQ50" s="249">
        <f t="shared" si="48"/>
        <v>0</v>
      </c>
      <c r="BR50" s="249">
        <f t="shared" si="48"/>
        <v>0</v>
      </c>
      <c r="BS50" s="303">
        <f>SUM(BS51:BS55)</f>
        <v>0</v>
      </c>
      <c r="BT50" s="249">
        <f>SUM(BT51:BT53)</f>
        <v>0</v>
      </c>
      <c r="BU50" s="249">
        <f>SUM(BU51:BU53)</f>
        <v>0</v>
      </c>
      <c r="BV50" s="229"/>
      <c r="BX50" s="240"/>
      <c r="BY50" s="243"/>
    </row>
    <row r="51" spans="1:77" ht="47.25">
      <c r="A51" s="45" t="s">
        <v>166</v>
      </c>
      <c r="B51" s="228" t="s">
        <v>91</v>
      </c>
      <c r="C51" s="268"/>
      <c r="D51" s="249">
        <f aca="true" t="shared" si="49" ref="D51:J55">K51+R51+Y51+AF51</f>
        <v>0</v>
      </c>
      <c r="E51" s="249">
        <f t="shared" si="49"/>
        <v>0</v>
      </c>
      <c r="F51" s="249">
        <f t="shared" si="49"/>
        <v>0</v>
      </c>
      <c r="G51" s="249">
        <f t="shared" si="49"/>
        <v>0</v>
      </c>
      <c r="H51" s="249">
        <f t="shared" si="49"/>
        <v>0</v>
      </c>
      <c r="I51" s="249">
        <f t="shared" si="49"/>
        <v>0</v>
      </c>
      <c r="J51" s="249">
        <f t="shared" si="49"/>
        <v>0</v>
      </c>
      <c r="K51" s="250">
        <v>0</v>
      </c>
      <c r="L51" s="250">
        <v>0</v>
      </c>
      <c r="M51" s="250">
        <v>0</v>
      </c>
      <c r="N51" s="250">
        <v>0</v>
      </c>
      <c r="O51" s="250">
        <v>0</v>
      </c>
      <c r="P51" s="250">
        <v>0</v>
      </c>
      <c r="Q51" s="250">
        <v>0</v>
      </c>
      <c r="R51" s="250">
        <v>0</v>
      </c>
      <c r="S51" s="250">
        <v>0</v>
      </c>
      <c r="T51" s="250">
        <v>0</v>
      </c>
      <c r="U51" s="250">
        <v>0</v>
      </c>
      <c r="V51" s="250">
        <v>0</v>
      </c>
      <c r="W51" s="250">
        <v>0</v>
      </c>
      <c r="X51" s="250">
        <v>0</v>
      </c>
      <c r="Y51" s="250">
        <v>0</v>
      </c>
      <c r="Z51" s="250">
        <v>0</v>
      </c>
      <c r="AA51" s="250">
        <v>0</v>
      </c>
      <c r="AB51" s="250">
        <v>0</v>
      </c>
      <c r="AC51" s="250">
        <v>0</v>
      </c>
      <c r="AD51" s="250">
        <v>0</v>
      </c>
      <c r="AE51" s="250">
        <v>0</v>
      </c>
      <c r="AF51" s="250">
        <v>0</v>
      </c>
      <c r="AG51" s="250">
        <v>0</v>
      </c>
      <c r="AH51" s="250">
        <v>0</v>
      </c>
      <c r="AI51" s="302">
        <v>0</v>
      </c>
      <c r="AJ51" s="302">
        <v>0</v>
      </c>
      <c r="AK51" s="302">
        <v>0</v>
      </c>
      <c r="AL51" s="302">
        <v>0</v>
      </c>
      <c r="AM51" s="303">
        <f aca="true" t="shared" si="50" ref="AM51:AS55">AT51+BA51+BH51+BO51</f>
        <v>0</v>
      </c>
      <c r="AN51" s="303">
        <f t="shared" si="50"/>
        <v>0</v>
      </c>
      <c r="AO51" s="303">
        <f t="shared" si="50"/>
        <v>0</v>
      </c>
      <c r="AP51" s="303">
        <f t="shared" si="50"/>
        <v>0</v>
      </c>
      <c r="AQ51" s="303">
        <f t="shared" si="50"/>
        <v>0</v>
      </c>
      <c r="AR51" s="303">
        <f t="shared" si="50"/>
        <v>0</v>
      </c>
      <c r="AS51" s="303">
        <f t="shared" si="50"/>
        <v>0</v>
      </c>
      <c r="AT51" s="302">
        <v>0</v>
      </c>
      <c r="AU51" s="302">
        <v>0</v>
      </c>
      <c r="AV51" s="302">
        <v>0</v>
      </c>
      <c r="AW51" s="302">
        <v>0</v>
      </c>
      <c r="AX51" s="302">
        <v>0</v>
      </c>
      <c r="AY51" s="302">
        <v>0</v>
      </c>
      <c r="AZ51" s="302">
        <v>0</v>
      </c>
      <c r="BA51" s="302">
        <v>0</v>
      </c>
      <c r="BB51" s="302">
        <v>0</v>
      </c>
      <c r="BC51" s="302">
        <v>0</v>
      </c>
      <c r="BD51" s="302">
        <v>0</v>
      </c>
      <c r="BE51" s="302">
        <v>0</v>
      </c>
      <c r="BF51" s="302">
        <v>0</v>
      </c>
      <c r="BG51" s="302">
        <v>0</v>
      </c>
      <c r="BH51" s="341">
        <v>0</v>
      </c>
      <c r="BI51" s="341">
        <v>0</v>
      </c>
      <c r="BJ51" s="341">
        <v>0</v>
      </c>
      <c r="BK51" s="341">
        <v>0</v>
      </c>
      <c r="BL51" s="341">
        <v>0</v>
      </c>
      <c r="BM51" s="341">
        <v>0</v>
      </c>
      <c r="BN51" s="341">
        <v>0</v>
      </c>
      <c r="BO51" s="302">
        <v>0</v>
      </c>
      <c r="BP51" s="250">
        <v>0</v>
      </c>
      <c r="BQ51" s="250">
        <v>0</v>
      </c>
      <c r="BR51" s="250">
        <v>0</v>
      </c>
      <c r="BS51" s="343">
        <v>0</v>
      </c>
      <c r="BT51" s="250">
        <v>0</v>
      </c>
      <c r="BU51" s="250">
        <v>0</v>
      </c>
      <c r="BV51" s="229"/>
      <c r="BX51" s="240"/>
      <c r="BY51" s="243"/>
    </row>
    <row r="52" spans="1:77" ht="31.5">
      <c r="A52" s="45" t="s">
        <v>167</v>
      </c>
      <c r="B52" s="228" t="s">
        <v>92</v>
      </c>
      <c r="C52" s="268"/>
      <c r="D52" s="249">
        <f t="shared" si="49"/>
        <v>0</v>
      </c>
      <c r="E52" s="249">
        <f t="shared" si="49"/>
        <v>0</v>
      </c>
      <c r="F52" s="249">
        <f t="shared" si="49"/>
        <v>0</v>
      </c>
      <c r="G52" s="249">
        <f t="shared" si="49"/>
        <v>0</v>
      </c>
      <c r="H52" s="249">
        <f t="shared" si="49"/>
        <v>0</v>
      </c>
      <c r="I52" s="249">
        <f t="shared" si="49"/>
        <v>0</v>
      </c>
      <c r="J52" s="249">
        <f t="shared" si="49"/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0</v>
      </c>
      <c r="T52" s="250">
        <v>0</v>
      </c>
      <c r="U52" s="250">
        <v>0</v>
      </c>
      <c r="V52" s="250">
        <v>0</v>
      </c>
      <c r="W52" s="250">
        <v>0</v>
      </c>
      <c r="X52" s="250">
        <v>0</v>
      </c>
      <c r="Y52" s="250">
        <v>0</v>
      </c>
      <c r="Z52" s="250">
        <v>0</v>
      </c>
      <c r="AA52" s="250">
        <v>0</v>
      </c>
      <c r="AB52" s="250">
        <v>0</v>
      </c>
      <c r="AC52" s="250">
        <v>0</v>
      </c>
      <c r="AD52" s="250">
        <v>0</v>
      </c>
      <c r="AE52" s="250">
        <v>0</v>
      </c>
      <c r="AF52" s="250">
        <v>0</v>
      </c>
      <c r="AG52" s="250">
        <v>0</v>
      </c>
      <c r="AH52" s="250">
        <v>0</v>
      </c>
      <c r="AI52" s="302">
        <v>0</v>
      </c>
      <c r="AJ52" s="302">
        <v>0</v>
      </c>
      <c r="AK52" s="302">
        <v>0</v>
      </c>
      <c r="AL52" s="302">
        <v>0</v>
      </c>
      <c r="AM52" s="303">
        <f t="shared" si="50"/>
        <v>0.63</v>
      </c>
      <c r="AN52" s="303">
        <f t="shared" si="50"/>
        <v>0</v>
      </c>
      <c r="AO52" s="303">
        <f t="shared" si="50"/>
        <v>0</v>
      </c>
      <c r="AP52" s="303">
        <f t="shared" si="50"/>
        <v>0</v>
      </c>
      <c r="AQ52" s="303">
        <f t="shared" si="50"/>
        <v>0</v>
      </c>
      <c r="AR52" s="303">
        <f t="shared" si="50"/>
        <v>0</v>
      </c>
      <c r="AS52" s="303">
        <f t="shared" si="50"/>
        <v>0</v>
      </c>
      <c r="AT52" s="302">
        <v>0</v>
      </c>
      <c r="AU52" s="302">
        <v>0</v>
      </c>
      <c r="AV52" s="302">
        <v>0</v>
      </c>
      <c r="AW52" s="302">
        <v>0</v>
      </c>
      <c r="AX52" s="302">
        <v>0</v>
      </c>
      <c r="AY52" s="302">
        <v>0</v>
      </c>
      <c r="AZ52" s="302">
        <v>0</v>
      </c>
      <c r="BA52" s="302">
        <v>0</v>
      </c>
      <c r="BB52" s="302">
        <v>0</v>
      </c>
      <c r="BC52" s="302">
        <v>0</v>
      </c>
      <c r="BD52" s="302">
        <v>0</v>
      </c>
      <c r="BE52" s="302">
        <v>0</v>
      </c>
      <c r="BF52" s="302">
        <v>0</v>
      </c>
      <c r="BG52" s="302">
        <v>0</v>
      </c>
      <c r="BH52" s="341">
        <v>0.63</v>
      </c>
      <c r="BI52" s="341">
        <v>0</v>
      </c>
      <c r="BJ52" s="341">
        <v>0</v>
      </c>
      <c r="BK52" s="341">
        <v>0</v>
      </c>
      <c r="BL52" s="341">
        <v>0</v>
      </c>
      <c r="BM52" s="341">
        <v>0</v>
      </c>
      <c r="BN52" s="341">
        <v>0</v>
      </c>
      <c r="BO52" s="302">
        <v>0</v>
      </c>
      <c r="BP52" s="250">
        <v>0</v>
      </c>
      <c r="BQ52" s="250">
        <v>0</v>
      </c>
      <c r="BR52" s="250">
        <v>0</v>
      </c>
      <c r="BS52" s="343">
        <v>0</v>
      </c>
      <c r="BT52" s="250">
        <v>0</v>
      </c>
      <c r="BU52" s="250">
        <v>0</v>
      </c>
      <c r="BV52" s="229"/>
      <c r="BX52" s="240"/>
      <c r="BY52" s="243"/>
    </row>
    <row r="53" spans="1:77" ht="31.5">
      <c r="A53" s="45" t="s">
        <v>168</v>
      </c>
      <c r="B53" s="228" t="s">
        <v>94</v>
      </c>
      <c r="C53" s="268"/>
      <c r="D53" s="249">
        <f t="shared" si="49"/>
        <v>0</v>
      </c>
      <c r="E53" s="249">
        <f t="shared" si="49"/>
        <v>0</v>
      </c>
      <c r="F53" s="249">
        <f t="shared" si="49"/>
        <v>0</v>
      </c>
      <c r="G53" s="249">
        <f t="shared" si="49"/>
        <v>0</v>
      </c>
      <c r="H53" s="249">
        <f t="shared" si="49"/>
        <v>0</v>
      </c>
      <c r="I53" s="249">
        <f t="shared" si="49"/>
        <v>0</v>
      </c>
      <c r="J53" s="249">
        <f t="shared" si="49"/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250">
        <v>0</v>
      </c>
      <c r="R53" s="250">
        <v>0</v>
      </c>
      <c r="S53" s="250">
        <v>0</v>
      </c>
      <c r="T53" s="250">
        <v>0</v>
      </c>
      <c r="U53" s="250">
        <v>0</v>
      </c>
      <c r="V53" s="250">
        <v>0</v>
      </c>
      <c r="W53" s="250">
        <v>0</v>
      </c>
      <c r="X53" s="250">
        <v>0</v>
      </c>
      <c r="Y53" s="250">
        <v>0</v>
      </c>
      <c r="Z53" s="250">
        <v>0</v>
      </c>
      <c r="AA53" s="250">
        <v>0</v>
      </c>
      <c r="AB53" s="250">
        <v>0</v>
      </c>
      <c r="AC53" s="250">
        <v>0</v>
      </c>
      <c r="AD53" s="250">
        <v>0</v>
      </c>
      <c r="AE53" s="250">
        <v>0</v>
      </c>
      <c r="AF53" s="250">
        <v>0</v>
      </c>
      <c r="AG53" s="250">
        <v>0</v>
      </c>
      <c r="AH53" s="250">
        <v>0</v>
      </c>
      <c r="AI53" s="302">
        <v>0</v>
      </c>
      <c r="AJ53" s="302">
        <v>0</v>
      </c>
      <c r="AK53" s="302">
        <v>0</v>
      </c>
      <c r="AL53" s="302">
        <v>0</v>
      </c>
      <c r="AM53" s="303">
        <f t="shared" si="50"/>
        <v>0.4</v>
      </c>
      <c r="AN53" s="303">
        <f t="shared" si="50"/>
        <v>0</v>
      </c>
      <c r="AO53" s="303">
        <f t="shared" si="50"/>
        <v>0</v>
      </c>
      <c r="AP53" s="303">
        <f t="shared" si="50"/>
        <v>0</v>
      </c>
      <c r="AQ53" s="303">
        <f t="shared" si="50"/>
        <v>0</v>
      </c>
      <c r="AR53" s="303">
        <f t="shared" si="50"/>
        <v>0</v>
      </c>
      <c r="AS53" s="303">
        <f t="shared" si="50"/>
        <v>0</v>
      </c>
      <c r="AT53" s="302">
        <v>0</v>
      </c>
      <c r="AU53" s="302">
        <v>0</v>
      </c>
      <c r="AV53" s="302">
        <v>0</v>
      </c>
      <c r="AW53" s="302">
        <v>0</v>
      </c>
      <c r="AX53" s="302">
        <v>0</v>
      </c>
      <c r="AY53" s="302">
        <v>0</v>
      </c>
      <c r="AZ53" s="302">
        <v>0</v>
      </c>
      <c r="BA53" s="302">
        <v>0</v>
      </c>
      <c r="BB53" s="302">
        <v>0</v>
      </c>
      <c r="BC53" s="302">
        <v>0</v>
      </c>
      <c r="BD53" s="302">
        <v>0</v>
      </c>
      <c r="BE53" s="302">
        <v>0</v>
      </c>
      <c r="BF53" s="302">
        <v>0</v>
      </c>
      <c r="BG53" s="302">
        <v>0</v>
      </c>
      <c r="BH53" s="341">
        <v>0.4</v>
      </c>
      <c r="BI53" s="341">
        <v>0</v>
      </c>
      <c r="BJ53" s="341">
        <v>0</v>
      </c>
      <c r="BK53" s="341">
        <v>0</v>
      </c>
      <c r="BL53" s="341">
        <v>0</v>
      </c>
      <c r="BM53" s="341">
        <v>0</v>
      </c>
      <c r="BN53" s="341">
        <v>0</v>
      </c>
      <c r="BO53" s="302">
        <v>0</v>
      </c>
      <c r="BP53" s="250">
        <v>0</v>
      </c>
      <c r="BQ53" s="250">
        <v>0</v>
      </c>
      <c r="BR53" s="250">
        <v>0</v>
      </c>
      <c r="BS53" s="343">
        <v>0</v>
      </c>
      <c r="BT53" s="250">
        <v>0</v>
      </c>
      <c r="BU53" s="250">
        <v>0</v>
      </c>
      <c r="BV53" s="229"/>
      <c r="BX53" s="240"/>
      <c r="BY53" s="243"/>
    </row>
    <row r="54" spans="1:77" ht="31.5">
      <c r="A54" s="45"/>
      <c r="B54" s="236" t="s">
        <v>97</v>
      </c>
      <c r="C54" s="268"/>
      <c r="D54" s="249">
        <f t="shared" si="49"/>
        <v>0</v>
      </c>
      <c r="E54" s="249">
        <f t="shared" si="49"/>
        <v>0</v>
      </c>
      <c r="F54" s="249">
        <f t="shared" si="49"/>
        <v>0</v>
      </c>
      <c r="G54" s="249">
        <f t="shared" si="49"/>
        <v>0</v>
      </c>
      <c r="H54" s="249">
        <f t="shared" si="49"/>
        <v>0</v>
      </c>
      <c r="I54" s="249">
        <f t="shared" si="49"/>
        <v>0</v>
      </c>
      <c r="J54" s="249">
        <f t="shared" si="49"/>
        <v>0</v>
      </c>
      <c r="K54" s="250">
        <v>0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250">
        <v>0</v>
      </c>
      <c r="R54" s="250">
        <v>0</v>
      </c>
      <c r="S54" s="250">
        <v>0</v>
      </c>
      <c r="T54" s="250">
        <v>0</v>
      </c>
      <c r="U54" s="250">
        <v>0</v>
      </c>
      <c r="V54" s="250">
        <v>0</v>
      </c>
      <c r="W54" s="250">
        <v>0</v>
      </c>
      <c r="X54" s="250">
        <v>0</v>
      </c>
      <c r="Y54" s="250">
        <v>0</v>
      </c>
      <c r="Z54" s="250">
        <v>0</v>
      </c>
      <c r="AA54" s="250">
        <v>0</v>
      </c>
      <c r="AB54" s="250">
        <v>0</v>
      </c>
      <c r="AC54" s="250">
        <v>0</v>
      </c>
      <c r="AD54" s="250">
        <v>0</v>
      </c>
      <c r="AE54" s="250">
        <v>0</v>
      </c>
      <c r="AF54" s="250">
        <v>0</v>
      </c>
      <c r="AG54" s="250">
        <v>0</v>
      </c>
      <c r="AH54" s="250">
        <v>0</v>
      </c>
      <c r="AI54" s="302">
        <v>0</v>
      </c>
      <c r="AJ54" s="302">
        <v>0</v>
      </c>
      <c r="AK54" s="302">
        <v>0</v>
      </c>
      <c r="AL54" s="302">
        <v>0</v>
      </c>
      <c r="AM54" s="303">
        <f t="shared" si="50"/>
        <v>0</v>
      </c>
      <c r="AN54" s="303">
        <f t="shared" si="50"/>
        <v>0</v>
      </c>
      <c r="AO54" s="303">
        <f t="shared" si="50"/>
        <v>0</v>
      </c>
      <c r="AP54" s="303">
        <f t="shared" si="50"/>
        <v>0</v>
      </c>
      <c r="AQ54" s="303">
        <f t="shared" si="50"/>
        <v>0</v>
      </c>
      <c r="AR54" s="303">
        <f t="shared" si="50"/>
        <v>0</v>
      </c>
      <c r="AS54" s="303">
        <f t="shared" si="50"/>
        <v>0</v>
      </c>
      <c r="AT54" s="302">
        <v>0</v>
      </c>
      <c r="AU54" s="302">
        <v>0</v>
      </c>
      <c r="AV54" s="302">
        <v>0</v>
      </c>
      <c r="AW54" s="302">
        <v>0</v>
      </c>
      <c r="AX54" s="302">
        <v>0</v>
      </c>
      <c r="AY54" s="302">
        <v>0</v>
      </c>
      <c r="AZ54" s="302">
        <v>0</v>
      </c>
      <c r="BA54" s="302">
        <v>0</v>
      </c>
      <c r="BB54" s="302">
        <v>0</v>
      </c>
      <c r="BC54" s="302">
        <v>0</v>
      </c>
      <c r="BD54" s="302">
        <v>0</v>
      </c>
      <c r="BE54" s="302">
        <v>0</v>
      </c>
      <c r="BF54" s="302">
        <v>0</v>
      </c>
      <c r="BG54" s="302">
        <v>0</v>
      </c>
      <c r="BH54" s="341">
        <v>0</v>
      </c>
      <c r="BI54" s="341">
        <v>0</v>
      </c>
      <c r="BJ54" s="341">
        <v>0</v>
      </c>
      <c r="BK54" s="341">
        <v>0</v>
      </c>
      <c r="BL54" s="341">
        <v>0</v>
      </c>
      <c r="BM54" s="341">
        <v>0</v>
      </c>
      <c r="BN54" s="341">
        <v>0</v>
      </c>
      <c r="BO54" s="302">
        <v>0</v>
      </c>
      <c r="BP54" s="250">
        <v>0</v>
      </c>
      <c r="BQ54" s="250">
        <v>0</v>
      </c>
      <c r="BR54" s="250">
        <v>0</v>
      </c>
      <c r="BS54" s="343">
        <v>0</v>
      </c>
      <c r="BT54" s="250">
        <v>0</v>
      </c>
      <c r="BU54" s="250">
        <v>0</v>
      </c>
      <c r="BV54" s="229"/>
      <c r="BX54" s="240"/>
      <c r="BY54" s="243"/>
    </row>
    <row r="55" spans="1:77" ht="47.25">
      <c r="A55" s="45"/>
      <c r="B55" s="236" t="s">
        <v>99</v>
      </c>
      <c r="C55" s="268"/>
      <c r="D55" s="249">
        <f t="shared" si="49"/>
        <v>0</v>
      </c>
      <c r="E55" s="249">
        <f t="shared" si="49"/>
        <v>0</v>
      </c>
      <c r="F55" s="249">
        <f t="shared" si="49"/>
        <v>0</v>
      </c>
      <c r="G55" s="249">
        <f t="shared" si="49"/>
        <v>0</v>
      </c>
      <c r="H55" s="249">
        <f t="shared" si="49"/>
        <v>0</v>
      </c>
      <c r="I55" s="249">
        <f t="shared" si="49"/>
        <v>0</v>
      </c>
      <c r="J55" s="249">
        <f t="shared" si="49"/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0</v>
      </c>
      <c r="V55" s="250">
        <v>0</v>
      </c>
      <c r="W55" s="250">
        <v>0</v>
      </c>
      <c r="X55" s="250">
        <v>0</v>
      </c>
      <c r="Y55" s="250">
        <v>0</v>
      </c>
      <c r="Z55" s="250">
        <v>0</v>
      </c>
      <c r="AA55" s="250">
        <v>0</v>
      </c>
      <c r="AB55" s="250">
        <v>0</v>
      </c>
      <c r="AC55" s="250">
        <v>0</v>
      </c>
      <c r="AD55" s="250">
        <v>0</v>
      </c>
      <c r="AE55" s="250">
        <v>0</v>
      </c>
      <c r="AF55" s="250">
        <v>0</v>
      </c>
      <c r="AG55" s="250">
        <v>0</v>
      </c>
      <c r="AH55" s="250">
        <v>0</v>
      </c>
      <c r="AI55" s="302">
        <v>0</v>
      </c>
      <c r="AJ55" s="302">
        <v>0</v>
      </c>
      <c r="AK55" s="302">
        <v>0</v>
      </c>
      <c r="AL55" s="302">
        <v>0</v>
      </c>
      <c r="AM55" s="303">
        <f t="shared" si="50"/>
        <v>0</v>
      </c>
      <c r="AN55" s="303">
        <f t="shared" si="50"/>
        <v>0</v>
      </c>
      <c r="AO55" s="303">
        <f t="shared" si="50"/>
        <v>0</v>
      </c>
      <c r="AP55" s="303">
        <f t="shared" si="50"/>
        <v>0</v>
      </c>
      <c r="AQ55" s="303">
        <f t="shared" si="50"/>
        <v>0</v>
      </c>
      <c r="AR55" s="303">
        <f t="shared" si="50"/>
        <v>0</v>
      </c>
      <c r="AS55" s="303">
        <f t="shared" si="50"/>
        <v>0</v>
      </c>
      <c r="AT55" s="302">
        <v>0</v>
      </c>
      <c r="AU55" s="302">
        <v>0</v>
      </c>
      <c r="AV55" s="302">
        <v>0</v>
      </c>
      <c r="AW55" s="302">
        <v>0</v>
      </c>
      <c r="AX55" s="302">
        <v>0</v>
      </c>
      <c r="AY55" s="302">
        <v>0</v>
      </c>
      <c r="AZ55" s="302">
        <v>0</v>
      </c>
      <c r="BA55" s="302">
        <v>0</v>
      </c>
      <c r="BB55" s="302">
        <v>0</v>
      </c>
      <c r="BC55" s="302">
        <v>0</v>
      </c>
      <c r="BD55" s="302">
        <v>0</v>
      </c>
      <c r="BE55" s="302">
        <v>0</v>
      </c>
      <c r="BF55" s="302">
        <v>0</v>
      </c>
      <c r="BG55" s="302">
        <v>0</v>
      </c>
      <c r="BH55" s="341">
        <v>0</v>
      </c>
      <c r="BI55" s="341">
        <v>0</v>
      </c>
      <c r="BJ55" s="341">
        <v>0</v>
      </c>
      <c r="BK55" s="341">
        <v>0</v>
      </c>
      <c r="BL55" s="341">
        <v>0</v>
      </c>
      <c r="BM55" s="341">
        <v>0</v>
      </c>
      <c r="BN55" s="341">
        <v>0</v>
      </c>
      <c r="BO55" s="302">
        <v>0</v>
      </c>
      <c r="BP55" s="250">
        <v>0</v>
      </c>
      <c r="BQ55" s="250">
        <v>0</v>
      </c>
      <c r="BR55" s="250">
        <v>0</v>
      </c>
      <c r="BS55" s="343">
        <v>0</v>
      </c>
      <c r="BT55" s="250">
        <v>0</v>
      </c>
      <c r="BU55" s="250">
        <v>0</v>
      </c>
      <c r="BV55" s="229"/>
      <c r="BX55" s="240"/>
      <c r="BY55" s="243"/>
    </row>
    <row r="56" spans="1:77" ht="47.25">
      <c r="A56" s="49" t="s">
        <v>100</v>
      </c>
      <c r="B56" s="230" t="s">
        <v>101</v>
      </c>
      <c r="C56" s="268"/>
      <c r="D56" s="249">
        <f aca="true" t="shared" si="51" ref="D56:AI56">SUM(D57:D59)</f>
        <v>0</v>
      </c>
      <c r="E56" s="249">
        <f t="shared" si="51"/>
        <v>0</v>
      </c>
      <c r="F56" s="249">
        <f t="shared" si="51"/>
        <v>0</v>
      </c>
      <c r="G56" s="249">
        <f t="shared" si="51"/>
        <v>0</v>
      </c>
      <c r="H56" s="249">
        <f t="shared" si="51"/>
        <v>0</v>
      </c>
      <c r="I56" s="249">
        <f t="shared" si="51"/>
        <v>0</v>
      </c>
      <c r="J56" s="249">
        <f t="shared" si="51"/>
        <v>0</v>
      </c>
      <c r="K56" s="249">
        <f t="shared" si="51"/>
        <v>0</v>
      </c>
      <c r="L56" s="249">
        <f t="shared" si="51"/>
        <v>0</v>
      </c>
      <c r="M56" s="249">
        <f t="shared" si="51"/>
        <v>0</v>
      </c>
      <c r="N56" s="249">
        <f t="shared" si="51"/>
        <v>0</v>
      </c>
      <c r="O56" s="249">
        <f t="shared" si="51"/>
        <v>0</v>
      </c>
      <c r="P56" s="249">
        <f t="shared" si="51"/>
        <v>0</v>
      </c>
      <c r="Q56" s="249">
        <f t="shared" si="51"/>
        <v>0</v>
      </c>
      <c r="R56" s="249">
        <f t="shared" si="51"/>
        <v>0</v>
      </c>
      <c r="S56" s="249">
        <f t="shared" si="51"/>
        <v>0</v>
      </c>
      <c r="T56" s="249">
        <f t="shared" si="51"/>
        <v>0</v>
      </c>
      <c r="U56" s="249">
        <f t="shared" si="51"/>
        <v>0</v>
      </c>
      <c r="V56" s="249">
        <f t="shared" si="51"/>
        <v>0</v>
      </c>
      <c r="W56" s="249">
        <f t="shared" si="51"/>
        <v>0</v>
      </c>
      <c r="X56" s="249">
        <f t="shared" si="51"/>
        <v>0</v>
      </c>
      <c r="Y56" s="249">
        <f t="shared" si="51"/>
        <v>0</v>
      </c>
      <c r="Z56" s="249">
        <f t="shared" si="51"/>
        <v>0</v>
      </c>
      <c r="AA56" s="249">
        <f t="shared" si="51"/>
        <v>0</v>
      </c>
      <c r="AB56" s="249">
        <f t="shared" si="51"/>
        <v>0</v>
      </c>
      <c r="AC56" s="249">
        <f t="shared" si="51"/>
        <v>0</v>
      </c>
      <c r="AD56" s="249">
        <f t="shared" si="51"/>
        <v>0</v>
      </c>
      <c r="AE56" s="249">
        <f t="shared" si="51"/>
        <v>0</v>
      </c>
      <c r="AF56" s="249">
        <f t="shared" si="51"/>
        <v>0</v>
      </c>
      <c r="AG56" s="249">
        <f t="shared" si="51"/>
        <v>0</v>
      </c>
      <c r="AH56" s="249">
        <f t="shared" si="51"/>
        <v>0</v>
      </c>
      <c r="AI56" s="303">
        <f t="shared" si="51"/>
        <v>0</v>
      </c>
      <c r="AJ56" s="303">
        <f aca="true" t="shared" si="52" ref="AJ56:BO56">SUM(AJ57:AJ59)</f>
        <v>0</v>
      </c>
      <c r="AK56" s="303">
        <f t="shared" si="52"/>
        <v>0</v>
      </c>
      <c r="AL56" s="303">
        <f t="shared" si="52"/>
        <v>0</v>
      </c>
      <c r="AM56" s="303">
        <f t="shared" si="52"/>
        <v>0</v>
      </c>
      <c r="AN56" s="303">
        <f t="shared" si="52"/>
        <v>0</v>
      </c>
      <c r="AO56" s="303">
        <f t="shared" si="52"/>
        <v>0</v>
      </c>
      <c r="AP56" s="303">
        <f t="shared" si="52"/>
        <v>0</v>
      </c>
      <c r="AQ56" s="303">
        <f t="shared" si="52"/>
        <v>0.855</v>
      </c>
      <c r="AR56" s="303">
        <f t="shared" si="52"/>
        <v>0</v>
      </c>
      <c r="AS56" s="303">
        <f t="shared" si="52"/>
        <v>0</v>
      </c>
      <c r="AT56" s="303">
        <f t="shared" si="52"/>
        <v>0</v>
      </c>
      <c r="AU56" s="303">
        <f t="shared" si="52"/>
        <v>0</v>
      </c>
      <c r="AV56" s="303">
        <f t="shared" si="52"/>
        <v>0</v>
      </c>
      <c r="AW56" s="303">
        <f t="shared" si="52"/>
        <v>0</v>
      </c>
      <c r="AX56" s="303">
        <f t="shared" si="52"/>
        <v>0.025</v>
      </c>
      <c r="AY56" s="303">
        <f t="shared" si="52"/>
        <v>0</v>
      </c>
      <c r="AZ56" s="303">
        <f t="shared" si="52"/>
        <v>0</v>
      </c>
      <c r="BA56" s="303">
        <f t="shared" si="52"/>
        <v>0</v>
      </c>
      <c r="BB56" s="303">
        <f t="shared" si="52"/>
        <v>0</v>
      </c>
      <c r="BC56" s="303">
        <f t="shared" si="52"/>
        <v>0</v>
      </c>
      <c r="BD56" s="303">
        <f t="shared" si="52"/>
        <v>0</v>
      </c>
      <c r="BE56" s="303">
        <f t="shared" si="52"/>
        <v>0.83</v>
      </c>
      <c r="BF56" s="303">
        <f t="shared" si="52"/>
        <v>0</v>
      </c>
      <c r="BG56" s="303">
        <f t="shared" si="52"/>
        <v>0</v>
      </c>
      <c r="BH56" s="341">
        <f t="shared" si="52"/>
        <v>0</v>
      </c>
      <c r="BI56" s="341">
        <f t="shared" si="52"/>
        <v>0</v>
      </c>
      <c r="BJ56" s="341">
        <f t="shared" si="52"/>
        <v>0</v>
      </c>
      <c r="BK56" s="341">
        <f t="shared" si="52"/>
        <v>0</v>
      </c>
      <c r="BL56" s="341">
        <f t="shared" si="52"/>
        <v>0</v>
      </c>
      <c r="BM56" s="341">
        <f t="shared" si="52"/>
        <v>0</v>
      </c>
      <c r="BN56" s="341">
        <f t="shared" si="52"/>
        <v>0</v>
      </c>
      <c r="BO56" s="303">
        <f t="shared" si="52"/>
        <v>0</v>
      </c>
      <c r="BP56" s="249">
        <f>SUM(BP57:BP59)</f>
        <v>0</v>
      </c>
      <c r="BQ56" s="249">
        <f>SUM(BQ57:BQ59)</f>
        <v>0</v>
      </c>
      <c r="BR56" s="249">
        <f>SUM(BR57:BR59)</f>
        <v>0</v>
      </c>
      <c r="BS56" s="303">
        <f>SUM(BS57:BS67)</f>
        <v>0</v>
      </c>
      <c r="BT56" s="249">
        <f>SUM(BT57:BT59)</f>
        <v>0</v>
      </c>
      <c r="BU56" s="249">
        <f>SUM(BU57:BU59)</f>
        <v>0</v>
      </c>
      <c r="BV56" s="229"/>
      <c r="BX56" s="240"/>
      <c r="BY56" s="243"/>
    </row>
    <row r="57" spans="1:77" ht="98.25" customHeight="1">
      <c r="A57" s="45" t="s">
        <v>102</v>
      </c>
      <c r="B57" s="228" t="s">
        <v>105</v>
      </c>
      <c r="C57" s="268"/>
      <c r="D57" s="249">
        <f aca="true" t="shared" si="53" ref="D57:D67">K57+R57+Y57+AF57</f>
        <v>0</v>
      </c>
      <c r="E57" s="249">
        <f aca="true" t="shared" si="54" ref="E57:E67">L57+S57+Z57+AG57</f>
        <v>0</v>
      </c>
      <c r="F57" s="249">
        <f aca="true" t="shared" si="55" ref="F57:F67">M57+T57+AA57+AH57</f>
        <v>0</v>
      </c>
      <c r="G57" s="249">
        <f aca="true" t="shared" si="56" ref="G57:G67">N57+U57+AB57+AI57</f>
        <v>0</v>
      </c>
      <c r="H57" s="249">
        <f aca="true" t="shared" si="57" ref="H57:H67">O57+V57+AC57+AJ57</f>
        <v>0</v>
      </c>
      <c r="I57" s="249">
        <f aca="true" t="shared" si="58" ref="I57:I67">P57+W57+AD57+AK57</f>
        <v>0</v>
      </c>
      <c r="J57" s="249">
        <f aca="true" t="shared" si="59" ref="J57:J67">Q57+X57+AE57+AL57</f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0</v>
      </c>
      <c r="T57" s="250">
        <v>0</v>
      </c>
      <c r="U57" s="250">
        <v>0</v>
      </c>
      <c r="V57" s="250">
        <v>0</v>
      </c>
      <c r="W57" s="250">
        <v>0</v>
      </c>
      <c r="X57" s="250">
        <v>0</v>
      </c>
      <c r="Y57" s="250">
        <v>0</v>
      </c>
      <c r="Z57" s="250">
        <v>0</v>
      </c>
      <c r="AA57" s="250">
        <v>0</v>
      </c>
      <c r="AB57" s="250">
        <v>0</v>
      </c>
      <c r="AC57" s="250">
        <v>0</v>
      </c>
      <c r="AD57" s="250">
        <v>0</v>
      </c>
      <c r="AE57" s="250">
        <v>0</v>
      </c>
      <c r="AF57" s="250">
        <v>0</v>
      </c>
      <c r="AG57" s="250">
        <v>0</v>
      </c>
      <c r="AH57" s="250">
        <v>0</v>
      </c>
      <c r="AI57" s="302">
        <v>0</v>
      </c>
      <c r="AJ57" s="302">
        <v>0</v>
      </c>
      <c r="AK57" s="302">
        <v>0</v>
      </c>
      <c r="AL57" s="302">
        <v>0</v>
      </c>
      <c r="AM57" s="303">
        <f aca="true" t="shared" si="60" ref="AM57:AM67">AT57+BA57+BH57+BO57</f>
        <v>0</v>
      </c>
      <c r="AN57" s="303">
        <f aca="true" t="shared" si="61" ref="AN57:AN67">AU57+BB57+BI57+BP57</f>
        <v>0</v>
      </c>
      <c r="AO57" s="303">
        <f aca="true" t="shared" si="62" ref="AO57:AO67">AV57+BC57+BJ57+BQ57</f>
        <v>0</v>
      </c>
      <c r="AP57" s="303">
        <f aca="true" t="shared" si="63" ref="AP57:AP67">AW57+BD57+BK57+BR57</f>
        <v>0</v>
      </c>
      <c r="AQ57" s="303">
        <f aca="true" t="shared" si="64" ref="AQ57:AQ67">AX57+BE57+BL57+BS57</f>
        <v>0.025</v>
      </c>
      <c r="AR57" s="303">
        <f aca="true" t="shared" si="65" ref="AR57:AR67">AY57+BF57+BM57+BT57</f>
        <v>0</v>
      </c>
      <c r="AS57" s="303">
        <f aca="true" t="shared" si="66" ref="AS57:AS67">AZ57+BG57+BN57+BU57</f>
        <v>0</v>
      </c>
      <c r="AT57" s="302">
        <v>0</v>
      </c>
      <c r="AU57" s="302">
        <v>0</v>
      </c>
      <c r="AV57" s="302">
        <v>0</v>
      </c>
      <c r="AW57" s="302">
        <v>0</v>
      </c>
      <c r="AX57" s="305">
        <v>0.025</v>
      </c>
      <c r="AY57" s="302">
        <v>0</v>
      </c>
      <c r="AZ57" s="302">
        <v>0</v>
      </c>
      <c r="BA57" s="302">
        <v>0</v>
      </c>
      <c r="BB57" s="302">
        <v>0</v>
      </c>
      <c r="BC57" s="302">
        <v>0</v>
      </c>
      <c r="BD57" s="302">
        <v>0</v>
      </c>
      <c r="BE57" s="302">
        <v>0</v>
      </c>
      <c r="BF57" s="302">
        <v>0</v>
      </c>
      <c r="BG57" s="302">
        <v>0</v>
      </c>
      <c r="BH57" s="341">
        <v>0</v>
      </c>
      <c r="BI57" s="341">
        <v>0</v>
      </c>
      <c r="BJ57" s="341">
        <v>0</v>
      </c>
      <c r="BK57" s="341">
        <v>0</v>
      </c>
      <c r="BL57" s="341">
        <v>0</v>
      </c>
      <c r="BM57" s="341">
        <v>0</v>
      </c>
      <c r="BN57" s="341">
        <v>0</v>
      </c>
      <c r="BO57" s="302">
        <v>0</v>
      </c>
      <c r="BP57" s="250">
        <v>0</v>
      </c>
      <c r="BQ57" s="250">
        <v>0</v>
      </c>
      <c r="BR57" s="250">
        <v>0</v>
      </c>
      <c r="BS57" s="343">
        <v>0</v>
      </c>
      <c r="BT57" s="250">
        <v>0</v>
      </c>
      <c r="BU57" s="250">
        <v>0</v>
      </c>
      <c r="BV57" s="229"/>
      <c r="BX57" s="240"/>
      <c r="BY57" s="243"/>
    </row>
    <row r="58" spans="1:77" ht="31.5">
      <c r="A58" s="45" t="s">
        <v>104</v>
      </c>
      <c r="B58" s="228" t="s">
        <v>103</v>
      </c>
      <c r="C58" s="268"/>
      <c r="D58" s="249">
        <f t="shared" si="53"/>
        <v>0</v>
      </c>
      <c r="E58" s="249">
        <f t="shared" si="54"/>
        <v>0</v>
      </c>
      <c r="F58" s="249">
        <f t="shared" si="55"/>
        <v>0</v>
      </c>
      <c r="G58" s="249">
        <f t="shared" si="56"/>
        <v>0</v>
      </c>
      <c r="H58" s="249">
        <f t="shared" si="57"/>
        <v>0</v>
      </c>
      <c r="I58" s="249">
        <f t="shared" si="58"/>
        <v>0</v>
      </c>
      <c r="J58" s="249">
        <f t="shared" si="59"/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0</v>
      </c>
      <c r="U58" s="250">
        <v>0</v>
      </c>
      <c r="V58" s="250">
        <v>0</v>
      </c>
      <c r="W58" s="250">
        <v>0</v>
      </c>
      <c r="X58" s="250">
        <v>0</v>
      </c>
      <c r="Y58" s="250">
        <v>0</v>
      </c>
      <c r="Z58" s="250">
        <v>0</v>
      </c>
      <c r="AA58" s="250">
        <v>0</v>
      </c>
      <c r="AB58" s="250">
        <v>0</v>
      </c>
      <c r="AC58" s="250">
        <v>0</v>
      </c>
      <c r="AD58" s="250">
        <v>0</v>
      </c>
      <c r="AE58" s="250">
        <v>0</v>
      </c>
      <c r="AF58" s="250">
        <v>0</v>
      </c>
      <c r="AG58" s="250">
        <v>0</v>
      </c>
      <c r="AH58" s="250">
        <v>0</v>
      </c>
      <c r="AI58" s="302">
        <v>0</v>
      </c>
      <c r="AJ58" s="302">
        <v>0</v>
      </c>
      <c r="AK58" s="302">
        <v>0</v>
      </c>
      <c r="AL58" s="302">
        <v>0</v>
      </c>
      <c r="AM58" s="303">
        <f t="shared" si="60"/>
        <v>0</v>
      </c>
      <c r="AN58" s="303">
        <f t="shared" si="61"/>
        <v>0</v>
      </c>
      <c r="AO58" s="303">
        <f t="shared" si="62"/>
        <v>0</v>
      </c>
      <c r="AP58" s="303">
        <f t="shared" si="63"/>
        <v>0</v>
      </c>
      <c r="AQ58" s="303">
        <f t="shared" si="64"/>
        <v>0</v>
      </c>
      <c r="AR58" s="303">
        <f t="shared" si="65"/>
        <v>0</v>
      </c>
      <c r="AS58" s="303">
        <f t="shared" si="66"/>
        <v>0</v>
      </c>
      <c r="AT58" s="302">
        <v>0</v>
      </c>
      <c r="AU58" s="302">
        <v>0</v>
      </c>
      <c r="AV58" s="302">
        <v>0</v>
      </c>
      <c r="AW58" s="302">
        <v>0</v>
      </c>
      <c r="AX58" s="302">
        <v>0</v>
      </c>
      <c r="AY58" s="302">
        <v>0</v>
      </c>
      <c r="AZ58" s="302">
        <v>0</v>
      </c>
      <c r="BA58" s="302">
        <v>0</v>
      </c>
      <c r="BB58" s="302">
        <v>0</v>
      </c>
      <c r="BC58" s="302">
        <v>0</v>
      </c>
      <c r="BD58" s="302">
        <v>0</v>
      </c>
      <c r="BE58" s="302">
        <v>0</v>
      </c>
      <c r="BF58" s="302">
        <v>0</v>
      </c>
      <c r="BG58" s="302">
        <v>0</v>
      </c>
      <c r="BH58" s="341">
        <v>0</v>
      </c>
      <c r="BI58" s="341">
        <v>0</v>
      </c>
      <c r="BJ58" s="341">
        <v>0</v>
      </c>
      <c r="BK58" s="341">
        <v>0</v>
      </c>
      <c r="BL58" s="341">
        <v>0</v>
      </c>
      <c r="BM58" s="341">
        <v>0</v>
      </c>
      <c r="BN58" s="341">
        <v>0</v>
      </c>
      <c r="BO58" s="302">
        <v>0</v>
      </c>
      <c r="BP58" s="250">
        <v>0</v>
      </c>
      <c r="BQ58" s="250">
        <v>0</v>
      </c>
      <c r="BR58" s="250">
        <v>0</v>
      </c>
      <c r="BS58" s="343">
        <v>0</v>
      </c>
      <c r="BT58" s="250">
        <v>0</v>
      </c>
      <c r="BU58" s="250">
        <v>0</v>
      </c>
      <c r="BV58" s="229"/>
      <c r="BX58" s="240"/>
      <c r="BY58" s="243"/>
    </row>
    <row r="59" spans="1:77" ht="31.5">
      <c r="A59" s="45" t="s">
        <v>106</v>
      </c>
      <c r="B59" s="228" t="s">
        <v>107</v>
      </c>
      <c r="C59" s="268"/>
      <c r="D59" s="249">
        <f t="shared" si="53"/>
        <v>0</v>
      </c>
      <c r="E59" s="249">
        <f t="shared" si="54"/>
        <v>0</v>
      </c>
      <c r="F59" s="249">
        <f t="shared" si="55"/>
        <v>0</v>
      </c>
      <c r="G59" s="249">
        <f t="shared" si="56"/>
        <v>0</v>
      </c>
      <c r="H59" s="249">
        <f t="shared" si="57"/>
        <v>0</v>
      </c>
      <c r="I59" s="249">
        <f t="shared" si="58"/>
        <v>0</v>
      </c>
      <c r="J59" s="249">
        <f t="shared" si="59"/>
        <v>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  <c r="S59" s="250">
        <v>0</v>
      </c>
      <c r="T59" s="250">
        <v>0</v>
      </c>
      <c r="U59" s="250">
        <v>0</v>
      </c>
      <c r="V59" s="250">
        <v>0</v>
      </c>
      <c r="W59" s="250">
        <v>0</v>
      </c>
      <c r="X59" s="250">
        <v>0</v>
      </c>
      <c r="Y59" s="250">
        <v>0</v>
      </c>
      <c r="Z59" s="250">
        <v>0</v>
      </c>
      <c r="AA59" s="250">
        <v>0</v>
      </c>
      <c r="AB59" s="250">
        <v>0</v>
      </c>
      <c r="AC59" s="250">
        <v>0</v>
      </c>
      <c r="AD59" s="250">
        <v>0</v>
      </c>
      <c r="AE59" s="250">
        <v>0</v>
      </c>
      <c r="AF59" s="250">
        <v>0</v>
      </c>
      <c r="AG59" s="250">
        <v>0</v>
      </c>
      <c r="AH59" s="250">
        <v>0</v>
      </c>
      <c r="AI59" s="302">
        <v>0</v>
      </c>
      <c r="AJ59" s="302">
        <v>0</v>
      </c>
      <c r="AK59" s="302">
        <v>0</v>
      </c>
      <c r="AL59" s="302">
        <v>0</v>
      </c>
      <c r="AM59" s="303">
        <f t="shared" si="60"/>
        <v>0</v>
      </c>
      <c r="AN59" s="303">
        <f t="shared" si="61"/>
        <v>0</v>
      </c>
      <c r="AO59" s="303">
        <f t="shared" si="62"/>
        <v>0</v>
      </c>
      <c r="AP59" s="303">
        <f t="shared" si="63"/>
        <v>0</v>
      </c>
      <c r="AQ59" s="303">
        <f t="shared" si="64"/>
        <v>0.83</v>
      </c>
      <c r="AR59" s="303">
        <f t="shared" si="65"/>
        <v>0</v>
      </c>
      <c r="AS59" s="303">
        <f t="shared" si="66"/>
        <v>0</v>
      </c>
      <c r="AT59" s="302">
        <v>0</v>
      </c>
      <c r="AU59" s="302">
        <v>0</v>
      </c>
      <c r="AV59" s="302">
        <v>0</v>
      </c>
      <c r="AW59" s="302">
        <v>0</v>
      </c>
      <c r="AX59" s="302">
        <v>0</v>
      </c>
      <c r="AY59" s="302">
        <v>0</v>
      </c>
      <c r="AZ59" s="302">
        <v>0</v>
      </c>
      <c r="BA59" s="302">
        <v>0</v>
      </c>
      <c r="BB59" s="302">
        <v>0</v>
      </c>
      <c r="BC59" s="302">
        <v>0</v>
      </c>
      <c r="BD59" s="302">
        <v>0</v>
      </c>
      <c r="BE59" s="305">
        <v>0.83</v>
      </c>
      <c r="BF59" s="302">
        <v>0</v>
      </c>
      <c r="BG59" s="302">
        <v>0</v>
      </c>
      <c r="BH59" s="341">
        <v>0</v>
      </c>
      <c r="BI59" s="341">
        <v>0</v>
      </c>
      <c r="BJ59" s="341">
        <v>0</v>
      </c>
      <c r="BK59" s="341">
        <v>0</v>
      </c>
      <c r="BL59" s="341">
        <v>0</v>
      </c>
      <c r="BM59" s="341">
        <v>0</v>
      </c>
      <c r="BN59" s="341">
        <v>0</v>
      </c>
      <c r="BO59" s="302">
        <v>0</v>
      </c>
      <c r="BP59" s="250">
        <v>0</v>
      </c>
      <c r="BQ59" s="250">
        <v>0</v>
      </c>
      <c r="BR59" s="250">
        <v>0</v>
      </c>
      <c r="BS59" s="343">
        <v>0</v>
      </c>
      <c r="BT59" s="250">
        <v>0</v>
      </c>
      <c r="BU59" s="250">
        <v>0</v>
      </c>
      <c r="BV59" s="229"/>
      <c r="BX59" s="240"/>
      <c r="BY59" s="243"/>
    </row>
    <row r="60" spans="1:77" ht="47.25">
      <c r="A60" s="45" t="s">
        <v>106</v>
      </c>
      <c r="B60" s="236" t="s">
        <v>109</v>
      </c>
      <c r="C60" s="268"/>
      <c r="D60" s="249">
        <f t="shared" si="53"/>
        <v>0</v>
      </c>
      <c r="E60" s="249">
        <f t="shared" si="54"/>
        <v>0</v>
      </c>
      <c r="F60" s="249">
        <f t="shared" si="55"/>
        <v>0</v>
      </c>
      <c r="G60" s="249">
        <f t="shared" si="56"/>
        <v>0</v>
      </c>
      <c r="H60" s="249">
        <f t="shared" si="57"/>
        <v>0</v>
      </c>
      <c r="I60" s="249">
        <f t="shared" si="58"/>
        <v>0</v>
      </c>
      <c r="J60" s="249">
        <f t="shared" si="59"/>
        <v>0</v>
      </c>
      <c r="K60" s="250">
        <v>0</v>
      </c>
      <c r="L60" s="250">
        <v>0</v>
      </c>
      <c r="M60" s="250">
        <v>0</v>
      </c>
      <c r="N60" s="250">
        <v>0</v>
      </c>
      <c r="O60" s="250">
        <v>0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0</v>
      </c>
      <c r="V60" s="250">
        <v>0</v>
      </c>
      <c r="W60" s="250">
        <v>0</v>
      </c>
      <c r="X60" s="250">
        <v>0</v>
      </c>
      <c r="Y60" s="250">
        <v>0</v>
      </c>
      <c r="Z60" s="250">
        <v>0</v>
      </c>
      <c r="AA60" s="250">
        <v>0</v>
      </c>
      <c r="AB60" s="250">
        <v>0</v>
      </c>
      <c r="AC60" s="250">
        <v>0</v>
      </c>
      <c r="AD60" s="250">
        <v>0</v>
      </c>
      <c r="AE60" s="250">
        <v>0</v>
      </c>
      <c r="AF60" s="250">
        <v>0</v>
      </c>
      <c r="AG60" s="250">
        <v>0</v>
      </c>
      <c r="AH60" s="250">
        <v>0</v>
      </c>
      <c r="AI60" s="302">
        <v>0</v>
      </c>
      <c r="AJ60" s="302">
        <v>0</v>
      </c>
      <c r="AK60" s="302">
        <v>0</v>
      </c>
      <c r="AL60" s="302">
        <v>0</v>
      </c>
      <c r="AM60" s="303">
        <f t="shared" si="60"/>
        <v>0</v>
      </c>
      <c r="AN60" s="303">
        <f t="shared" si="61"/>
        <v>0</v>
      </c>
      <c r="AO60" s="303">
        <f t="shared" si="62"/>
        <v>0</v>
      </c>
      <c r="AP60" s="303">
        <f t="shared" si="63"/>
        <v>0</v>
      </c>
      <c r="AQ60" s="303">
        <f t="shared" si="64"/>
        <v>0</v>
      </c>
      <c r="AR60" s="303">
        <f t="shared" si="65"/>
        <v>0</v>
      </c>
      <c r="AS60" s="303">
        <f t="shared" si="66"/>
        <v>0</v>
      </c>
      <c r="AT60" s="302">
        <v>0</v>
      </c>
      <c r="AU60" s="302">
        <v>0</v>
      </c>
      <c r="AV60" s="302">
        <v>0</v>
      </c>
      <c r="AW60" s="302">
        <v>0</v>
      </c>
      <c r="AX60" s="302">
        <v>0</v>
      </c>
      <c r="AY60" s="302">
        <v>0</v>
      </c>
      <c r="AZ60" s="302">
        <v>0</v>
      </c>
      <c r="BA60" s="302">
        <v>0</v>
      </c>
      <c r="BB60" s="302">
        <v>0</v>
      </c>
      <c r="BC60" s="302">
        <v>0</v>
      </c>
      <c r="BD60" s="302">
        <v>0</v>
      </c>
      <c r="BE60" s="302">
        <v>0</v>
      </c>
      <c r="BF60" s="302">
        <v>0</v>
      </c>
      <c r="BG60" s="302">
        <v>0</v>
      </c>
      <c r="BH60" s="341">
        <v>0</v>
      </c>
      <c r="BI60" s="341">
        <v>0</v>
      </c>
      <c r="BJ60" s="341">
        <v>0</v>
      </c>
      <c r="BK60" s="341">
        <v>0</v>
      </c>
      <c r="BL60" s="341">
        <v>0</v>
      </c>
      <c r="BM60" s="341">
        <v>0</v>
      </c>
      <c r="BN60" s="341">
        <v>0</v>
      </c>
      <c r="BO60" s="302">
        <v>0</v>
      </c>
      <c r="BP60" s="250">
        <v>0</v>
      </c>
      <c r="BQ60" s="250">
        <v>0</v>
      </c>
      <c r="BR60" s="250">
        <v>0</v>
      </c>
      <c r="BS60" s="343">
        <v>0</v>
      </c>
      <c r="BT60" s="250">
        <v>0</v>
      </c>
      <c r="BU60" s="250">
        <v>0</v>
      </c>
      <c r="BV60" s="229"/>
      <c r="BX60" s="240"/>
      <c r="BY60" s="243"/>
    </row>
    <row r="61" spans="1:77" ht="31.5">
      <c r="A61" s="45" t="s">
        <v>106</v>
      </c>
      <c r="B61" s="236" t="s">
        <v>111</v>
      </c>
      <c r="C61" s="268"/>
      <c r="D61" s="249">
        <f t="shared" si="53"/>
        <v>0</v>
      </c>
      <c r="E61" s="249">
        <f t="shared" si="54"/>
        <v>0</v>
      </c>
      <c r="F61" s="249">
        <f t="shared" si="55"/>
        <v>0</v>
      </c>
      <c r="G61" s="249">
        <f t="shared" si="56"/>
        <v>0</v>
      </c>
      <c r="H61" s="249">
        <f t="shared" si="57"/>
        <v>0</v>
      </c>
      <c r="I61" s="249">
        <f t="shared" si="58"/>
        <v>0</v>
      </c>
      <c r="J61" s="249">
        <f t="shared" si="59"/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50">
        <v>0</v>
      </c>
      <c r="R61" s="250">
        <v>0</v>
      </c>
      <c r="S61" s="250">
        <v>0</v>
      </c>
      <c r="T61" s="250">
        <v>0</v>
      </c>
      <c r="U61" s="250">
        <v>0</v>
      </c>
      <c r="V61" s="250">
        <v>0</v>
      </c>
      <c r="W61" s="250">
        <v>0</v>
      </c>
      <c r="X61" s="250">
        <v>0</v>
      </c>
      <c r="Y61" s="250">
        <v>0</v>
      </c>
      <c r="Z61" s="250">
        <v>0</v>
      </c>
      <c r="AA61" s="250">
        <v>0</v>
      </c>
      <c r="AB61" s="250">
        <v>0</v>
      </c>
      <c r="AC61" s="250">
        <v>0</v>
      </c>
      <c r="AD61" s="250">
        <v>0</v>
      </c>
      <c r="AE61" s="250">
        <v>0</v>
      </c>
      <c r="AF61" s="250">
        <v>0</v>
      </c>
      <c r="AG61" s="250">
        <v>0</v>
      </c>
      <c r="AH61" s="250">
        <v>0</v>
      </c>
      <c r="AI61" s="302">
        <v>0</v>
      </c>
      <c r="AJ61" s="302">
        <v>0</v>
      </c>
      <c r="AK61" s="302">
        <v>0</v>
      </c>
      <c r="AL61" s="302">
        <v>0</v>
      </c>
      <c r="AM61" s="303">
        <f t="shared" si="60"/>
        <v>0</v>
      </c>
      <c r="AN61" s="303">
        <f t="shared" si="61"/>
        <v>0</v>
      </c>
      <c r="AO61" s="303">
        <f t="shared" si="62"/>
        <v>0</v>
      </c>
      <c r="AP61" s="303">
        <f t="shared" si="63"/>
        <v>0</v>
      </c>
      <c r="AQ61" s="303">
        <f t="shared" si="64"/>
        <v>0</v>
      </c>
      <c r="AR61" s="303">
        <f t="shared" si="65"/>
        <v>0</v>
      </c>
      <c r="AS61" s="303">
        <f t="shared" si="66"/>
        <v>0</v>
      </c>
      <c r="AT61" s="302">
        <v>0</v>
      </c>
      <c r="AU61" s="302">
        <v>0</v>
      </c>
      <c r="AV61" s="302">
        <v>0</v>
      </c>
      <c r="AW61" s="302">
        <v>0</v>
      </c>
      <c r="AX61" s="302">
        <v>0</v>
      </c>
      <c r="AY61" s="302">
        <v>0</v>
      </c>
      <c r="AZ61" s="302">
        <v>0</v>
      </c>
      <c r="BA61" s="302">
        <v>0</v>
      </c>
      <c r="BB61" s="302">
        <v>0</v>
      </c>
      <c r="BC61" s="302">
        <v>0</v>
      </c>
      <c r="BD61" s="302">
        <v>0</v>
      </c>
      <c r="BE61" s="302">
        <v>0</v>
      </c>
      <c r="BF61" s="302">
        <v>0</v>
      </c>
      <c r="BG61" s="302">
        <v>0</v>
      </c>
      <c r="BH61" s="341">
        <v>0</v>
      </c>
      <c r="BI61" s="341">
        <v>0</v>
      </c>
      <c r="BJ61" s="341">
        <v>0</v>
      </c>
      <c r="BK61" s="341">
        <v>0</v>
      </c>
      <c r="BL61" s="341">
        <v>0</v>
      </c>
      <c r="BM61" s="341">
        <v>0</v>
      </c>
      <c r="BN61" s="341">
        <v>0</v>
      </c>
      <c r="BO61" s="302">
        <v>0</v>
      </c>
      <c r="BP61" s="250">
        <v>0</v>
      </c>
      <c r="BQ61" s="250">
        <v>0</v>
      </c>
      <c r="BR61" s="250">
        <v>0</v>
      </c>
      <c r="BS61" s="343">
        <v>0</v>
      </c>
      <c r="BT61" s="250">
        <v>0</v>
      </c>
      <c r="BU61" s="250">
        <v>0</v>
      </c>
      <c r="BV61" s="229"/>
      <c r="BX61" s="240"/>
      <c r="BY61" s="243"/>
    </row>
    <row r="62" spans="1:77" ht="47.25">
      <c r="A62" s="45" t="s">
        <v>106</v>
      </c>
      <c r="B62" s="236" t="s">
        <v>113</v>
      </c>
      <c r="C62" s="268"/>
      <c r="D62" s="249">
        <f t="shared" si="53"/>
        <v>0</v>
      </c>
      <c r="E62" s="249">
        <f t="shared" si="54"/>
        <v>0</v>
      </c>
      <c r="F62" s="249">
        <f t="shared" si="55"/>
        <v>0</v>
      </c>
      <c r="G62" s="249">
        <f t="shared" si="56"/>
        <v>0</v>
      </c>
      <c r="H62" s="249">
        <f t="shared" si="57"/>
        <v>0</v>
      </c>
      <c r="I62" s="249">
        <f t="shared" si="58"/>
        <v>0</v>
      </c>
      <c r="J62" s="249">
        <f t="shared" si="59"/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50">
        <v>0</v>
      </c>
      <c r="R62" s="250">
        <v>0</v>
      </c>
      <c r="S62" s="250">
        <v>0</v>
      </c>
      <c r="T62" s="250">
        <v>0</v>
      </c>
      <c r="U62" s="250">
        <v>0</v>
      </c>
      <c r="V62" s="250">
        <v>0</v>
      </c>
      <c r="W62" s="250">
        <v>0</v>
      </c>
      <c r="X62" s="250">
        <v>0</v>
      </c>
      <c r="Y62" s="250">
        <v>0</v>
      </c>
      <c r="Z62" s="250">
        <v>0</v>
      </c>
      <c r="AA62" s="250">
        <v>0</v>
      </c>
      <c r="AB62" s="250">
        <v>0</v>
      </c>
      <c r="AC62" s="250">
        <v>0</v>
      </c>
      <c r="AD62" s="250">
        <v>0</v>
      </c>
      <c r="AE62" s="250">
        <v>0</v>
      </c>
      <c r="AF62" s="250">
        <v>0</v>
      </c>
      <c r="AG62" s="250">
        <v>0</v>
      </c>
      <c r="AH62" s="250">
        <v>0</v>
      </c>
      <c r="AI62" s="302">
        <v>0</v>
      </c>
      <c r="AJ62" s="302">
        <v>0</v>
      </c>
      <c r="AK62" s="302">
        <v>0</v>
      </c>
      <c r="AL62" s="302">
        <v>0</v>
      </c>
      <c r="AM62" s="303">
        <f t="shared" si="60"/>
        <v>0</v>
      </c>
      <c r="AN62" s="303">
        <f t="shared" si="61"/>
        <v>0</v>
      </c>
      <c r="AO62" s="303">
        <f t="shared" si="62"/>
        <v>0</v>
      </c>
      <c r="AP62" s="303">
        <f t="shared" si="63"/>
        <v>0</v>
      </c>
      <c r="AQ62" s="303">
        <f t="shared" si="64"/>
        <v>0</v>
      </c>
      <c r="AR62" s="303">
        <f t="shared" si="65"/>
        <v>0</v>
      </c>
      <c r="AS62" s="303">
        <f t="shared" si="66"/>
        <v>0</v>
      </c>
      <c r="AT62" s="302">
        <v>0</v>
      </c>
      <c r="AU62" s="302">
        <v>0</v>
      </c>
      <c r="AV62" s="302">
        <v>0</v>
      </c>
      <c r="AW62" s="302">
        <v>0</v>
      </c>
      <c r="AX62" s="302">
        <v>0</v>
      </c>
      <c r="AY62" s="302">
        <v>0</v>
      </c>
      <c r="AZ62" s="302">
        <v>0</v>
      </c>
      <c r="BA62" s="302">
        <v>0</v>
      </c>
      <c r="BB62" s="302">
        <v>0</v>
      </c>
      <c r="BC62" s="302">
        <v>0</v>
      </c>
      <c r="BD62" s="302">
        <v>0</v>
      </c>
      <c r="BE62" s="302">
        <v>0</v>
      </c>
      <c r="BF62" s="302">
        <v>0</v>
      </c>
      <c r="BG62" s="302">
        <v>0</v>
      </c>
      <c r="BH62" s="341">
        <v>0</v>
      </c>
      <c r="BI62" s="341">
        <v>0</v>
      </c>
      <c r="BJ62" s="341">
        <v>0</v>
      </c>
      <c r="BK62" s="341">
        <v>0</v>
      </c>
      <c r="BL62" s="341">
        <v>0</v>
      </c>
      <c r="BM62" s="341">
        <v>0</v>
      </c>
      <c r="BN62" s="341">
        <v>0</v>
      </c>
      <c r="BO62" s="302">
        <v>0</v>
      </c>
      <c r="BP62" s="250">
        <v>0</v>
      </c>
      <c r="BQ62" s="250">
        <v>0</v>
      </c>
      <c r="BR62" s="250">
        <v>0</v>
      </c>
      <c r="BS62" s="343">
        <v>0</v>
      </c>
      <c r="BT62" s="250">
        <v>0</v>
      </c>
      <c r="BU62" s="250">
        <v>0</v>
      </c>
      <c r="BV62" s="229"/>
      <c r="BX62" s="240"/>
      <c r="BY62" s="243"/>
    </row>
    <row r="63" spans="1:77" ht="31.5">
      <c r="A63" s="45" t="s">
        <v>106</v>
      </c>
      <c r="B63" s="236" t="s">
        <v>115</v>
      </c>
      <c r="C63" s="268"/>
      <c r="D63" s="249">
        <f t="shared" si="53"/>
        <v>0</v>
      </c>
      <c r="E63" s="249">
        <f t="shared" si="54"/>
        <v>0</v>
      </c>
      <c r="F63" s="249">
        <f t="shared" si="55"/>
        <v>0</v>
      </c>
      <c r="G63" s="249">
        <f t="shared" si="56"/>
        <v>0</v>
      </c>
      <c r="H63" s="249">
        <f t="shared" si="57"/>
        <v>0</v>
      </c>
      <c r="I63" s="249">
        <f t="shared" si="58"/>
        <v>0</v>
      </c>
      <c r="J63" s="249">
        <f t="shared" si="59"/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50">
        <v>0</v>
      </c>
      <c r="R63" s="250">
        <v>0</v>
      </c>
      <c r="S63" s="250">
        <v>0</v>
      </c>
      <c r="T63" s="250">
        <v>0</v>
      </c>
      <c r="U63" s="250">
        <v>0</v>
      </c>
      <c r="V63" s="250">
        <v>0</v>
      </c>
      <c r="W63" s="250">
        <v>0</v>
      </c>
      <c r="X63" s="250">
        <v>0</v>
      </c>
      <c r="Y63" s="250">
        <v>0</v>
      </c>
      <c r="Z63" s="250">
        <v>0</v>
      </c>
      <c r="AA63" s="250">
        <v>0</v>
      </c>
      <c r="AB63" s="250">
        <v>0</v>
      </c>
      <c r="AC63" s="250">
        <v>0</v>
      </c>
      <c r="AD63" s="250">
        <v>0</v>
      </c>
      <c r="AE63" s="250">
        <v>0</v>
      </c>
      <c r="AF63" s="250">
        <v>0</v>
      </c>
      <c r="AG63" s="250">
        <v>0</v>
      </c>
      <c r="AH63" s="250">
        <v>0</v>
      </c>
      <c r="AI63" s="302">
        <v>0</v>
      </c>
      <c r="AJ63" s="302">
        <v>0</v>
      </c>
      <c r="AK63" s="302">
        <v>0</v>
      </c>
      <c r="AL63" s="302">
        <v>0</v>
      </c>
      <c r="AM63" s="303">
        <f t="shared" si="60"/>
        <v>0</v>
      </c>
      <c r="AN63" s="303">
        <f t="shared" si="61"/>
        <v>0</v>
      </c>
      <c r="AO63" s="303">
        <f t="shared" si="62"/>
        <v>0</v>
      </c>
      <c r="AP63" s="303">
        <f t="shared" si="63"/>
        <v>0</v>
      </c>
      <c r="AQ63" s="303">
        <f t="shared" si="64"/>
        <v>0</v>
      </c>
      <c r="AR63" s="303">
        <f t="shared" si="65"/>
        <v>0</v>
      </c>
      <c r="AS63" s="303">
        <f t="shared" si="66"/>
        <v>0</v>
      </c>
      <c r="AT63" s="302">
        <v>0</v>
      </c>
      <c r="AU63" s="302">
        <v>0</v>
      </c>
      <c r="AV63" s="302">
        <v>0</v>
      </c>
      <c r="AW63" s="302">
        <v>0</v>
      </c>
      <c r="AX63" s="302">
        <v>0</v>
      </c>
      <c r="AY63" s="302">
        <v>0</v>
      </c>
      <c r="AZ63" s="302">
        <v>0</v>
      </c>
      <c r="BA63" s="302">
        <v>0</v>
      </c>
      <c r="BB63" s="302">
        <v>0</v>
      </c>
      <c r="BC63" s="302">
        <v>0</v>
      </c>
      <c r="BD63" s="302">
        <v>0</v>
      </c>
      <c r="BE63" s="302">
        <v>0</v>
      </c>
      <c r="BF63" s="302">
        <v>0</v>
      </c>
      <c r="BG63" s="302">
        <v>0</v>
      </c>
      <c r="BH63" s="341">
        <v>0</v>
      </c>
      <c r="BI63" s="341">
        <v>0</v>
      </c>
      <c r="BJ63" s="341">
        <v>0</v>
      </c>
      <c r="BK63" s="341">
        <v>0</v>
      </c>
      <c r="BL63" s="341">
        <v>0</v>
      </c>
      <c r="BM63" s="341">
        <v>0</v>
      </c>
      <c r="BN63" s="341">
        <v>0</v>
      </c>
      <c r="BO63" s="302">
        <v>0</v>
      </c>
      <c r="BP63" s="250">
        <v>0</v>
      </c>
      <c r="BQ63" s="250">
        <v>0</v>
      </c>
      <c r="BR63" s="250">
        <v>0</v>
      </c>
      <c r="BS63" s="343">
        <v>0</v>
      </c>
      <c r="BT63" s="250">
        <v>0</v>
      </c>
      <c r="BU63" s="250">
        <v>0</v>
      </c>
      <c r="BV63" s="229"/>
      <c r="BX63" s="240"/>
      <c r="BY63" s="243"/>
    </row>
    <row r="64" spans="1:77" ht="31.5">
      <c r="A64" s="45" t="s">
        <v>106</v>
      </c>
      <c r="B64" s="236" t="s">
        <v>117</v>
      </c>
      <c r="C64" s="268"/>
      <c r="D64" s="249">
        <f t="shared" si="53"/>
        <v>0</v>
      </c>
      <c r="E64" s="249">
        <f t="shared" si="54"/>
        <v>0</v>
      </c>
      <c r="F64" s="249">
        <f t="shared" si="55"/>
        <v>0</v>
      </c>
      <c r="G64" s="249">
        <f t="shared" si="56"/>
        <v>0</v>
      </c>
      <c r="H64" s="249">
        <f t="shared" si="57"/>
        <v>0</v>
      </c>
      <c r="I64" s="249">
        <f t="shared" si="58"/>
        <v>0</v>
      </c>
      <c r="J64" s="249">
        <f t="shared" si="59"/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50">
        <v>0</v>
      </c>
      <c r="R64" s="250">
        <v>0</v>
      </c>
      <c r="S64" s="250">
        <v>0</v>
      </c>
      <c r="T64" s="250">
        <v>0</v>
      </c>
      <c r="U64" s="250">
        <v>0</v>
      </c>
      <c r="V64" s="250">
        <v>0</v>
      </c>
      <c r="W64" s="250">
        <v>0</v>
      </c>
      <c r="X64" s="250">
        <v>0</v>
      </c>
      <c r="Y64" s="250">
        <v>0</v>
      </c>
      <c r="Z64" s="250">
        <v>0</v>
      </c>
      <c r="AA64" s="250">
        <v>0</v>
      </c>
      <c r="AB64" s="250">
        <v>0</v>
      </c>
      <c r="AC64" s="250">
        <v>0</v>
      </c>
      <c r="AD64" s="250">
        <v>0</v>
      </c>
      <c r="AE64" s="250">
        <v>0</v>
      </c>
      <c r="AF64" s="250">
        <v>0</v>
      </c>
      <c r="AG64" s="250">
        <v>0</v>
      </c>
      <c r="AH64" s="250">
        <v>0</v>
      </c>
      <c r="AI64" s="302">
        <v>0</v>
      </c>
      <c r="AJ64" s="302">
        <v>0</v>
      </c>
      <c r="AK64" s="302">
        <v>0</v>
      </c>
      <c r="AL64" s="302">
        <v>0</v>
      </c>
      <c r="AM64" s="303">
        <f t="shared" si="60"/>
        <v>0</v>
      </c>
      <c r="AN64" s="303">
        <f t="shared" si="61"/>
        <v>0</v>
      </c>
      <c r="AO64" s="303">
        <f t="shared" si="62"/>
        <v>0</v>
      </c>
      <c r="AP64" s="303">
        <f t="shared" si="63"/>
        <v>0</v>
      </c>
      <c r="AQ64" s="303">
        <f t="shared" si="64"/>
        <v>0</v>
      </c>
      <c r="AR64" s="303">
        <f t="shared" si="65"/>
        <v>0</v>
      </c>
      <c r="AS64" s="303">
        <f t="shared" si="66"/>
        <v>0</v>
      </c>
      <c r="AT64" s="302">
        <v>0</v>
      </c>
      <c r="AU64" s="302">
        <v>0</v>
      </c>
      <c r="AV64" s="302">
        <v>0</v>
      </c>
      <c r="AW64" s="302">
        <v>0</v>
      </c>
      <c r="AX64" s="302">
        <v>0</v>
      </c>
      <c r="AY64" s="302">
        <v>0</v>
      </c>
      <c r="AZ64" s="302">
        <v>0</v>
      </c>
      <c r="BA64" s="302">
        <v>0</v>
      </c>
      <c r="BB64" s="302">
        <v>0</v>
      </c>
      <c r="BC64" s="302">
        <v>0</v>
      </c>
      <c r="BD64" s="302">
        <v>0</v>
      </c>
      <c r="BE64" s="302">
        <v>0</v>
      </c>
      <c r="BF64" s="302">
        <v>0</v>
      </c>
      <c r="BG64" s="302">
        <v>0</v>
      </c>
      <c r="BH64" s="341">
        <v>0</v>
      </c>
      <c r="BI64" s="341">
        <v>0</v>
      </c>
      <c r="BJ64" s="341">
        <v>0</v>
      </c>
      <c r="BK64" s="341">
        <v>0</v>
      </c>
      <c r="BL64" s="341">
        <v>0</v>
      </c>
      <c r="BM64" s="341">
        <v>0</v>
      </c>
      <c r="BN64" s="341">
        <v>0</v>
      </c>
      <c r="BO64" s="302">
        <v>0</v>
      </c>
      <c r="BP64" s="250">
        <v>0</v>
      </c>
      <c r="BQ64" s="250">
        <v>0</v>
      </c>
      <c r="BR64" s="250">
        <v>0</v>
      </c>
      <c r="BS64" s="343">
        <v>0</v>
      </c>
      <c r="BT64" s="250">
        <v>0</v>
      </c>
      <c r="BU64" s="250">
        <v>0</v>
      </c>
      <c r="BV64" s="229"/>
      <c r="BX64" s="240"/>
      <c r="BY64" s="243"/>
    </row>
    <row r="65" spans="1:77" ht="31.5">
      <c r="A65" s="45" t="s">
        <v>106</v>
      </c>
      <c r="B65" s="236" t="s">
        <v>119</v>
      </c>
      <c r="C65" s="268"/>
      <c r="D65" s="249">
        <f t="shared" si="53"/>
        <v>0</v>
      </c>
      <c r="E65" s="249">
        <f t="shared" si="54"/>
        <v>0</v>
      </c>
      <c r="F65" s="249">
        <f t="shared" si="55"/>
        <v>0</v>
      </c>
      <c r="G65" s="249">
        <f t="shared" si="56"/>
        <v>0</v>
      </c>
      <c r="H65" s="249">
        <f t="shared" si="57"/>
        <v>0</v>
      </c>
      <c r="I65" s="249">
        <f t="shared" si="58"/>
        <v>0</v>
      </c>
      <c r="J65" s="249">
        <f t="shared" si="59"/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250">
        <v>0</v>
      </c>
      <c r="X65" s="250">
        <v>0</v>
      </c>
      <c r="Y65" s="250">
        <v>0</v>
      </c>
      <c r="Z65" s="250">
        <v>0</v>
      </c>
      <c r="AA65" s="250">
        <v>0</v>
      </c>
      <c r="AB65" s="250">
        <v>0</v>
      </c>
      <c r="AC65" s="250">
        <v>0</v>
      </c>
      <c r="AD65" s="250">
        <v>0</v>
      </c>
      <c r="AE65" s="250">
        <v>0</v>
      </c>
      <c r="AF65" s="250">
        <v>0</v>
      </c>
      <c r="AG65" s="250">
        <v>0</v>
      </c>
      <c r="AH65" s="250">
        <v>0</v>
      </c>
      <c r="AI65" s="302">
        <v>0</v>
      </c>
      <c r="AJ65" s="302">
        <v>0</v>
      </c>
      <c r="AK65" s="302">
        <v>0</v>
      </c>
      <c r="AL65" s="302">
        <v>0</v>
      </c>
      <c r="AM65" s="303">
        <f t="shared" si="60"/>
        <v>0</v>
      </c>
      <c r="AN65" s="303">
        <f t="shared" si="61"/>
        <v>0</v>
      </c>
      <c r="AO65" s="303">
        <f t="shared" si="62"/>
        <v>0</v>
      </c>
      <c r="AP65" s="303">
        <f t="shared" si="63"/>
        <v>0</v>
      </c>
      <c r="AQ65" s="303">
        <f t="shared" si="64"/>
        <v>0</v>
      </c>
      <c r="AR65" s="303">
        <f t="shared" si="65"/>
        <v>0</v>
      </c>
      <c r="AS65" s="303">
        <f t="shared" si="66"/>
        <v>0</v>
      </c>
      <c r="AT65" s="302">
        <v>0</v>
      </c>
      <c r="AU65" s="302">
        <v>0</v>
      </c>
      <c r="AV65" s="302">
        <v>0</v>
      </c>
      <c r="AW65" s="302">
        <v>0</v>
      </c>
      <c r="AX65" s="302">
        <v>0</v>
      </c>
      <c r="AY65" s="302">
        <v>0</v>
      </c>
      <c r="AZ65" s="302">
        <v>0</v>
      </c>
      <c r="BA65" s="302">
        <v>0</v>
      </c>
      <c r="BB65" s="302">
        <v>0</v>
      </c>
      <c r="BC65" s="302">
        <v>0</v>
      </c>
      <c r="BD65" s="302">
        <v>0</v>
      </c>
      <c r="BE65" s="302">
        <v>0</v>
      </c>
      <c r="BF65" s="302">
        <v>0</v>
      </c>
      <c r="BG65" s="302">
        <v>0</v>
      </c>
      <c r="BH65" s="341">
        <v>0</v>
      </c>
      <c r="BI65" s="341">
        <v>0</v>
      </c>
      <c r="BJ65" s="341">
        <v>0</v>
      </c>
      <c r="BK65" s="341">
        <v>0</v>
      </c>
      <c r="BL65" s="341">
        <v>0</v>
      </c>
      <c r="BM65" s="341">
        <v>0</v>
      </c>
      <c r="BN65" s="341">
        <v>0</v>
      </c>
      <c r="BO65" s="302">
        <v>0</v>
      </c>
      <c r="BP65" s="250">
        <v>0</v>
      </c>
      <c r="BQ65" s="250">
        <v>0</v>
      </c>
      <c r="BR65" s="250">
        <v>0</v>
      </c>
      <c r="BS65" s="343">
        <v>0</v>
      </c>
      <c r="BT65" s="250">
        <v>0</v>
      </c>
      <c r="BU65" s="250">
        <v>0</v>
      </c>
      <c r="BV65" s="229"/>
      <c r="BX65" s="240"/>
      <c r="BY65" s="243"/>
    </row>
    <row r="66" spans="1:77" ht="31.5">
      <c r="A66" s="45" t="s">
        <v>106</v>
      </c>
      <c r="B66" s="236" t="s">
        <v>121</v>
      </c>
      <c r="C66" s="268"/>
      <c r="D66" s="249">
        <f t="shared" si="53"/>
        <v>0</v>
      </c>
      <c r="E66" s="249">
        <f t="shared" si="54"/>
        <v>0</v>
      </c>
      <c r="F66" s="249">
        <f t="shared" si="55"/>
        <v>0</v>
      </c>
      <c r="G66" s="249">
        <f t="shared" si="56"/>
        <v>0</v>
      </c>
      <c r="H66" s="249">
        <f t="shared" si="57"/>
        <v>0</v>
      </c>
      <c r="I66" s="249">
        <f t="shared" si="58"/>
        <v>0</v>
      </c>
      <c r="J66" s="249">
        <f t="shared" si="59"/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250">
        <v>0</v>
      </c>
      <c r="X66" s="250">
        <v>0</v>
      </c>
      <c r="Y66" s="250">
        <v>0</v>
      </c>
      <c r="Z66" s="250">
        <v>0</v>
      </c>
      <c r="AA66" s="250">
        <v>0</v>
      </c>
      <c r="AB66" s="250">
        <v>0</v>
      </c>
      <c r="AC66" s="250">
        <v>0</v>
      </c>
      <c r="AD66" s="250">
        <v>0</v>
      </c>
      <c r="AE66" s="250">
        <v>0</v>
      </c>
      <c r="AF66" s="250">
        <v>0</v>
      </c>
      <c r="AG66" s="250">
        <v>0</v>
      </c>
      <c r="AH66" s="250">
        <v>0</v>
      </c>
      <c r="AI66" s="302">
        <v>0</v>
      </c>
      <c r="AJ66" s="302">
        <v>0</v>
      </c>
      <c r="AK66" s="302">
        <v>0</v>
      </c>
      <c r="AL66" s="302">
        <v>0</v>
      </c>
      <c r="AM66" s="303">
        <f t="shared" si="60"/>
        <v>0</v>
      </c>
      <c r="AN66" s="303">
        <f t="shared" si="61"/>
        <v>0</v>
      </c>
      <c r="AO66" s="303">
        <f t="shared" si="62"/>
        <v>0</v>
      </c>
      <c r="AP66" s="303">
        <f t="shared" si="63"/>
        <v>0</v>
      </c>
      <c r="AQ66" s="303">
        <f t="shared" si="64"/>
        <v>0</v>
      </c>
      <c r="AR66" s="303">
        <f t="shared" si="65"/>
        <v>0</v>
      </c>
      <c r="AS66" s="303">
        <f t="shared" si="66"/>
        <v>0</v>
      </c>
      <c r="AT66" s="302">
        <v>0</v>
      </c>
      <c r="AU66" s="302">
        <v>0</v>
      </c>
      <c r="AV66" s="302">
        <v>0</v>
      </c>
      <c r="AW66" s="302">
        <v>0</v>
      </c>
      <c r="AX66" s="302">
        <v>0</v>
      </c>
      <c r="AY66" s="302">
        <v>0</v>
      </c>
      <c r="AZ66" s="302">
        <v>0</v>
      </c>
      <c r="BA66" s="302">
        <v>0</v>
      </c>
      <c r="BB66" s="302">
        <v>0</v>
      </c>
      <c r="BC66" s="302">
        <v>0</v>
      </c>
      <c r="BD66" s="302">
        <v>0</v>
      </c>
      <c r="BE66" s="302">
        <v>0</v>
      </c>
      <c r="BF66" s="302">
        <v>0</v>
      </c>
      <c r="BG66" s="302">
        <v>0</v>
      </c>
      <c r="BH66" s="341">
        <v>0</v>
      </c>
      <c r="BI66" s="341">
        <v>0</v>
      </c>
      <c r="BJ66" s="341">
        <v>0</v>
      </c>
      <c r="BK66" s="341">
        <v>0</v>
      </c>
      <c r="BL66" s="341">
        <v>0</v>
      </c>
      <c r="BM66" s="341">
        <v>0</v>
      </c>
      <c r="BN66" s="341">
        <v>0</v>
      </c>
      <c r="BO66" s="302">
        <v>0</v>
      </c>
      <c r="BP66" s="250">
        <v>0</v>
      </c>
      <c r="BQ66" s="250">
        <v>0</v>
      </c>
      <c r="BR66" s="250">
        <v>0</v>
      </c>
      <c r="BS66" s="343">
        <v>0</v>
      </c>
      <c r="BT66" s="250">
        <v>0</v>
      </c>
      <c r="BU66" s="250">
        <v>0</v>
      </c>
      <c r="BV66" s="229"/>
      <c r="BX66" s="240"/>
      <c r="BY66" s="243"/>
    </row>
    <row r="67" spans="1:77" ht="63">
      <c r="A67" s="45" t="s">
        <v>106</v>
      </c>
      <c r="B67" s="236" t="s">
        <v>123</v>
      </c>
      <c r="C67" s="268"/>
      <c r="D67" s="249">
        <f t="shared" si="53"/>
        <v>0</v>
      </c>
      <c r="E67" s="249">
        <f t="shared" si="54"/>
        <v>0</v>
      </c>
      <c r="F67" s="249">
        <f t="shared" si="55"/>
        <v>0</v>
      </c>
      <c r="G67" s="249">
        <f t="shared" si="56"/>
        <v>0</v>
      </c>
      <c r="H67" s="249">
        <f t="shared" si="57"/>
        <v>0</v>
      </c>
      <c r="I67" s="249">
        <f t="shared" si="58"/>
        <v>0</v>
      </c>
      <c r="J67" s="249">
        <f t="shared" si="59"/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250">
        <v>0</v>
      </c>
      <c r="X67" s="250">
        <v>0</v>
      </c>
      <c r="Y67" s="250">
        <v>0</v>
      </c>
      <c r="Z67" s="250">
        <v>0</v>
      </c>
      <c r="AA67" s="250">
        <v>0</v>
      </c>
      <c r="AB67" s="250">
        <v>0</v>
      </c>
      <c r="AC67" s="250">
        <v>0</v>
      </c>
      <c r="AD67" s="250">
        <v>0</v>
      </c>
      <c r="AE67" s="250">
        <v>0</v>
      </c>
      <c r="AF67" s="250">
        <v>0</v>
      </c>
      <c r="AG67" s="250">
        <v>0</v>
      </c>
      <c r="AH67" s="250">
        <v>0</v>
      </c>
      <c r="AI67" s="302">
        <v>0</v>
      </c>
      <c r="AJ67" s="302">
        <v>0</v>
      </c>
      <c r="AK67" s="302">
        <v>0</v>
      </c>
      <c r="AL67" s="302">
        <v>0</v>
      </c>
      <c r="AM67" s="303">
        <f t="shared" si="60"/>
        <v>0</v>
      </c>
      <c r="AN67" s="303">
        <f t="shared" si="61"/>
        <v>0</v>
      </c>
      <c r="AO67" s="303">
        <f t="shared" si="62"/>
        <v>0</v>
      </c>
      <c r="AP67" s="303">
        <f t="shared" si="63"/>
        <v>0</v>
      </c>
      <c r="AQ67" s="303">
        <f t="shared" si="64"/>
        <v>0</v>
      </c>
      <c r="AR67" s="303">
        <f t="shared" si="65"/>
        <v>0</v>
      </c>
      <c r="AS67" s="303">
        <f t="shared" si="66"/>
        <v>0</v>
      </c>
      <c r="AT67" s="302">
        <v>0</v>
      </c>
      <c r="AU67" s="302">
        <v>0</v>
      </c>
      <c r="AV67" s="302">
        <v>0</v>
      </c>
      <c r="AW67" s="302">
        <v>0</v>
      </c>
      <c r="AX67" s="302">
        <v>0</v>
      </c>
      <c r="AY67" s="302">
        <v>0</v>
      </c>
      <c r="AZ67" s="302">
        <v>0</v>
      </c>
      <c r="BA67" s="302">
        <v>0</v>
      </c>
      <c r="BB67" s="302">
        <v>0</v>
      </c>
      <c r="BC67" s="302">
        <v>0</v>
      </c>
      <c r="BD67" s="302">
        <v>0</v>
      </c>
      <c r="BE67" s="302">
        <v>0</v>
      </c>
      <c r="BF67" s="302">
        <v>0</v>
      </c>
      <c r="BG67" s="302">
        <v>0</v>
      </c>
      <c r="BH67" s="341">
        <v>0</v>
      </c>
      <c r="BI67" s="341">
        <v>0</v>
      </c>
      <c r="BJ67" s="341">
        <v>0</v>
      </c>
      <c r="BK67" s="341">
        <v>0</v>
      </c>
      <c r="BL67" s="341">
        <v>0</v>
      </c>
      <c r="BM67" s="341">
        <v>0</v>
      </c>
      <c r="BN67" s="341">
        <v>0</v>
      </c>
      <c r="BO67" s="302">
        <v>0</v>
      </c>
      <c r="BP67" s="250">
        <v>0</v>
      </c>
      <c r="BQ67" s="250">
        <v>0</v>
      </c>
      <c r="BR67" s="250">
        <v>0</v>
      </c>
      <c r="BS67" s="343">
        <v>0</v>
      </c>
      <c r="BT67" s="250">
        <v>0</v>
      </c>
      <c r="BU67" s="250">
        <v>0</v>
      </c>
      <c r="BV67" s="229"/>
      <c r="BX67" s="240"/>
      <c r="BY67" s="243"/>
    </row>
    <row r="68" spans="1:77" ht="18.75" hidden="1">
      <c r="A68" s="45"/>
      <c r="B68" s="228"/>
      <c r="C68" s="268"/>
      <c r="D68" s="249"/>
      <c r="E68" s="249"/>
      <c r="F68" s="249"/>
      <c r="G68" s="249"/>
      <c r="H68" s="249"/>
      <c r="I68" s="249"/>
      <c r="J68" s="249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302"/>
      <c r="AJ68" s="302"/>
      <c r="AK68" s="302"/>
      <c r="AL68" s="302"/>
      <c r="AM68" s="303"/>
      <c r="AN68" s="303"/>
      <c r="AO68" s="303"/>
      <c r="AP68" s="303"/>
      <c r="AQ68" s="303"/>
      <c r="AR68" s="303"/>
      <c r="AS68" s="303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41"/>
      <c r="BI68" s="341"/>
      <c r="BJ68" s="341"/>
      <c r="BK68" s="341"/>
      <c r="BL68" s="341"/>
      <c r="BM68" s="341"/>
      <c r="BN68" s="341"/>
      <c r="BO68" s="302"/>
      <c r="BP68" s="250"/>
      <c r="BQ68" s="250"/>
      <c r="BR68" s="250"/>
      <c r="BS68" s="343"/>
      <c r="BT68" s="250"/>
      <c r="BU68" s="250"/>
      <c r="BV68" s="229"/>
      <c r="BX68" s="240"/>
      <c r="BY68" s="243"/>
    </row>
    <row r="69" spans="1:77" ht="18.75" hidden="1">
      <c r="A69" s="45"/>
      <c r="B69" s="228"/>
      <c r="C69" s="268"/>
      <c r="D69" s="249"/>
      <c r="E69" s="249"/>
      <c r="F69" s="249"/>
      <c r="G69" s="249"/>
      <c r="H69" s="249"/>
      <c r="I69" s="249"/>
      <c r="J69" s="249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302"/>
      <c r="AJ69" s="302"/>
      <c r="AK69" s="302"/>
      <c r="AL69" s="302"/>
      <c r="AM69" s="303"/>
      <c r="AN69" s="303"/>
      <c r="AO69" s="303"/>
      <c r="AP69" s="303"/>
      <c r="AQ69" s="303"/>
      <c r="AR69" s="303"/>
      <c r="AS69" s="303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41"/>
      <c r="BI69" s="341"/>
      <c r="BJ69" s="341"/>
      <c r="BK69" s="341"/>
      <c r="BL69" s="341"/>
      <c r="BM69" s="341"/>
      <c r="BN69" s="341"/>
      <c r="BO69" s="302"/>
      <c r="BP69" s="250"/>
      <c r="BQ69" s="250"/>
      <c r="BR69" s="250"/>
      <c r="BS69" s="343"/>
      <c r="BT69" s="250"/>
      <c r="BU69" s="250"/>
      <c r="BV69" s="229"/>
      <c r="BX69" s="240"/>
      <c r="BY69" s="243"/>
    </row>
    <row r="70" spans="1:77" ht="18.75" hidden="1">
      <c r="A70" s="45"/>
      <c r="B70" s="228"/>
      <c r="C70" s="268"/>
      <c r="D70" s="249"/>
      <c r="E70" s="249"/>
      <c r="F70" s="249"/>
      <c r="G70" s="249"/>
      <c r="H70" s="249"/>
      <c r="I70" s="249"/>
      <c r="J70" s="249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302"/>
      <c r="AJ70" s="302"/>
      <c r="AK70" s="302"/>
      <c r="AL70" s="302"/>
      <c r="AM70" s="303"/>
      <c r="AN70" s="303"/>
      <c r="AO70" s="303"/>
      <c r="AP70" s="303"/>
      <c r="AQ70" s="303"/>
      <c r="AR70" s="303"/>
      <c r="AS70" s="303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41"/>
      <c r="BI70" s="341"/>
      <c r="BJ70" s="341"/>
      <c r="BK70" s="341"/>
      <c r="BL70" s="341"/>
      <c r="BM70" s="341"/>
      <c r="BN70" s="341"/>
      <c r="BO70" s="302"/>
      <c r="BP70" s="250"/>
      <c r="BQ70" s="250"/>
      <c r="BR70" s="250"/>
      <c r="BS70" s="343"/>
      <c r="BT70" s="250"/>
      <c r="BU70" s="250"/>
      <c r="BV70" s="229"/>
      <c r="BX70" s="240"/>
      <c r="BY70" s="243"/>
    </row>
    <row r="71" spans="1:77" ht="18.75" hidden="1">
      <c r="A71" s="45"/>
      <c r="B71" s="228"/>
      <c r="C71" s="268"/>
      <c r="D71" s="249"/>
      <c r="E71" s="249"/>
      <c r="F71" s="249"/>
      <c r="G71" s="249"/>
      <c r="H71" s="249"/>
      <c r="I71" s="249"/>
      <c r="J71" s="249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302"/>
      <c r="AJ71" s="302"/>
      <c r="AK71" s="302"/>
      <c r="AL71" s="302"/>
      <c r="AM71" s="303"/>
      <c r="AN71" s="303"/>
      <c r="AO71" s="303"/>
      <c r="AP71" s="303"/>
      <c r="AQ71" s="303"/>
      <c r="AR71" s="303"/>
      <c r="AS71" s="303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41"/>
      <c r="BI71" s="341"/>
      <c r="BJ71" s="341"/>
      <c r="BK71" s="341"/>
      <c r="BL71" s="341"/>
      <c r="BM71" s="341"/>
      <c r="BN71" s="341"/>
      <c r="BO71" s="302"/>
      <c r="BP71" s="250"/>
      <c r="BQ71" s="250"/>
      <c r="BR71" s="250"/>
      <c r="BS71" s="343"/>
      <c r="BT71" s="250"/>
      <c r="BU71" s="250"/>
      <c r="BV71" s="229"/>
      <c r="BX71" s="240"/>
      <c r="BY71" s="243"/>
    </row>
    <row r="72" spans="1:77" ht="18.75" hidden="1">
      <c r="A72" s="45"/>
      <c r="B72" s="228"/>
      <c r="C72" s="268"/>
      <c r="D72" s="249"/>
      <c r="E72" s="249"/>
      <c r="F72" s="249"/>
      <c r="G72" s="249"/>
      <c r="H72" s="249"/>
      <c r="I72" s="249"/>
      <c r="J72" s="249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302"/>
      <c r="AJ72" s="302"/>
      <c r="AK72" s="302"/>
      <c r="AL72" s="302"/>
      <c r="AM72" s="303"/>
      <c r="AN72" s="303"/>
      <c r="AO72" s="303"/>
      <c r="AP72" s="303"/>
      <c r="AQ72" s="303"/>
      <c r="AR72" s="303"/>
      <c r="AS72" s="303"/>
      <c r="AT72" s="302"/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41"/>
      <c r="BI72" s="341"/>
      <c r="BJ72" s="341"/>
      <c r="BK72" s="341"/>
      <c r="BL72" s="341"/>
      <c r="BM72" s="341"/>
      <c r="BN72" s="341"/>
      <c r="BO72" s="302"/>
      <c r="BP72" s="250"/>
      <c r="BQ72" s="250"/>
      <c r="BR72" s="250"/>
      <c r="BS72" s="343"/>
      <c r="BT72" s="250"/>
      <c r="BU72" s="250"/>
      <c r="BV72" s="229"/>
      <c r="BX72" s="240"/>
      <c r="BY72" s="243"/>
    </row>
    <row r="73" spans="1:77" ht="18.75" hidden="1">
      <c r="A73" s="45"/>
      <c r="B73" s="228"/>
      <c r="C73" s="268"/>
      <c r="D73" s="249"/>
      <c r="E73" s="249"/>
      <c r="F73" s="249"/>
      <c r="G73" s="249"/>
      <c r="H73" s="249"/>
      <c r="I73" s="249"/>
      <c r="J73" s="249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302"/>
      <c r="AJ73" s="302"/>
      <c r="AK73" s="302"/>
      <c r="AL73" s="302"/>
      <c r="AM73" s="303"/>
      <c r="AN73" s="303"/>
      <c r="AO73" s="303"/>
      <c r="AP73" s="303"/>
      <c r="AQ73" s="303"/>
      <c r="AR73" s="303"/>
      <c r="AS73" s="303"/>
      <c r="AT73" s="302"/>
      <c r="AU73" s="302"/>
      <c r="AV73" s="302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41"/>
      <c r="BI73" s="341"/>
      <c r="BJ73" s="341"/>
      <c r="BK73" s="341"/>
      <c r="BL73" s="341"/>
      <c r="BM73" s="341"/>
      <c r="BN73" s="341"/>
      <c r="BO73" s="302"/>
      <c r="BP73" s="250"/>
      <c r="BQ73" s="250"/>
      <c r="BR73" s="250"/>
      <c r="BS73" s="343"/>
      <c r="BT73" s="250"/>
      <c r="BU73" s="250"/>
      <c r="BV73" s="229"/>
      <c r="BX73" s="240"/>
      <c r="BY73" s="243"/>
    </row>
    <row r="74" spans="1:77" ht="18.75" hidden="1">
      <c r="A74" s="45"/>
      <c r="B74" s="228"/>
      <c r="C74" s="268"/>
      <c r="D74" s="249"/>
      <c r="E74" s="249"/>
      <c r="F74" s="249"/>
      <c r="G74" s="249"/>
      <c r="H74" s="249"/>
      <c r="I74" s="249"/>
      <c r="J74" s="249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302"/>
      <c r="AJ74" s="302"/>
      <c r="AK74" s="302"/>
      <c r="AL74" s="302"/>
      <c r="AM74" s="303"/>
      <c r="AN74" s="303"/>
      <c r="AO74" s="303"/>
      <c r="AP74" s="303"/>
      <c r="AQ74" s="303"/>
      <c r="AR74" s="303"/>
      <c r="AS74" s="303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41"/>
      <c r="BI74" s="341"/>
      <c r="BJ74" s="341"/>
      <c r="BK74" s="341"/>
      <c r="BL74" s="341"/>
      <c r="BM74" s="341"/>
      <c r="BN74" s="341"/>
      <c r="BO74" s="302"/>
      <c r="BP74" s="250"/>
      <c r="BQ74" s="250"/>
      <c r="BR74" s="250"/>
      <c r="BS74" s="343"/>
      <c r="BT74" s="250"/>
      <c r="BU74" s="250"/>
      <c r="BV74" s="229"/>
      <c r="BX74" s="240"/>
      <c r="BY74" s="243"/>
    </row>
    <row r="75" spans="1:77" ht="18.75" hidden="1">
      <c r="A75" s="45"/>
      <c r="B75" s="228"/>
      <c r="C75" s="268"/>
      <c r="D75" s="249"/>
      <c r="E75" s="249"/>
      <c r="F75" s="249"/>
      <c r="G75" s="249"/>
      <c r="H75" s="249"/>
      <c r="I75" s="249"/>
      <c r="J75" s="249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302"/>
      <c r="AJ75" s="302"/>
      <c r="AK75" s="302"/>
      <c r="AL75" s="302"/>
      <c r="AM75" s="303"/>
      <c r="AN75" s="303"/>
      <c r="AO75" s="303"/>
      <c r="AP75" s="303"/>
      <c r="AQ75" s="303"/>
      <c r="AR75" s="303"/>
      <c r="AS75" s="303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  <c r="BE75" s="302"/>
      <c r="BF75" s="302"/>
      <c r="BG75" s="302"/>
      <c r="BH75" s="341"/>
      <c r="BI75" s="341"/>
      <c r="BJ75" s="341"/>
      <c r="BK75" s="341"/>
      <c r="BL75" s="341"/>
      <c r="BM75" s="341"/>
      <c r="BN75" s="341"/>
      <c r="BO75" s="302"/>
      <c r="BP75" s="250"/>
      <c r="BQ75" s="250"/>
      <c r="BR75" s="250"/>
      <c r="BS75" s="343"/>
      <c r="BT75" s="250"/>
      <c r="BU75" s="250"/>
      <c r="BV75" s="229"/>
      <c r="BX75" s="240"/>
      <c r="BY75" s="243"/>
    </row>
    <row r="76" spans="1:77" s="246" customFormat="1" ht="31.5">
      <c r="A76" s="65" t="s">
        <v>124</v>
      </c>
      <c r="B76" s="230" t="s">
        <v>125</v>
      </c>
      <c r="C76" s="275"/>
      <c r="D76" s="251">
        <f aca="true" t="shared" si="67" ref="D76:AI76">SUM(D77:D84)</f>
        <v>0</v>
      </c>
      <c r="E76" s="251">
        <f t="shared" si="67"/>
        <v>0</v>
      </c>
      <c r="F76" s="251">
        <f t="shared" si="67"/>
        <v>0</v>
      </c>
      <c r="G76" s="251">
        <f t="shared" si="67"/>
        <v>0</v>
      </c>
      <c r="H76" s="251">
        <f t="shared" si="67"/>
        <v>0</v>
      </c>
      <c r="I76" s="251">
        <f t="shared" si="67"/>
        <v>0</v>
      </c>
      <c r="J76" s="251">
        <f t="shared" si="67"/>
        <v>0</v>
      </c>
      <c r="K76" s="251">
        <f t="shared" si="67"/>
        <v>0</v>
      </c>
      <c r="L76" s="251">
        <f t="shared" si="67"/>
        <v>0</v>
      </c>
      <c r="M76" s="251">
        <f t="shared" si="67"/>
        <v>0</v>
      </c>
      <c r="N76" s="251">
        <f t="shared" si="67"/>
        <v>0</v>
      </c>
      <c r="O76" s="251">
        <f t="shared" si="67"/>
        <v>0</v>
      </c>
      <c r="P76" s="251">
        <f t="shared" si="67"/>
        <v>0</v>
      </c>
      <c r="Q76" s="251">
        <f t="shared" si="67"/>
        <v>0</v>
      </c>
      <c r="R76" s="251">
        <f t="shared" si="67"/>
        <v>0</v>
      </c>
      <c r="S76" s="251">
        <f t="shared" si="67"/>
        <v>0</v>
      </c>
      <c r="T76" s="251">
        <f t="shared" si="67"/>
        <v>0</v>
      </c>
      <c r="U76" s="251">
        <f t="shared" si="67"/>
        <v>0</v>
      </c>
      <c r="V76" s="251">
        <f t="shared" si="67"/>
        <v>0</v>
      </c>
      <c r="W76" s="251">
        <f t="shared" si="67"/>
        <v>0</v>
      </c>
      <c r="X76" s="251">
        <f t="shared" si="67"/>
        <v>0</v>
      </c>
      <c r="Y76" s="251">
        <f t="shared" si="67"/>
        <v>0</v>
      </c>
      <c r="Z76" s="251">
        <f t="shared" si="67"/>
        <v>0</v>
      </c>
      <c r="AA76" s="251">
        <f t="shared" si="67"/>
        <v>0</v>
      </c>
      <c r="AB76" s="251">
        <f t="shared" si="67"/>
        <v>0</v>
      </c>
      <c r="AC76" s="251">
        <f t="shared" si="67"/>
        <v>0</v>
      </c>
      <c r="AD76" s="251">
        <f t="shared" si="67"/>
        <v>0</v>
      </c>
      <c r="AE76" s="251">
        <f t="shared" si="67"/>
        <v>0</v>
      </c>
      <c r="AF76" s="251">
        <f t="shared" si="67"/>
        <v>0</v>
      </c>
      <c r="AG76" s="251">
        <f t="shared" si="67"/>
        <v>0</v>
      </c>
      <c r="AH76" s="251">
        <f t="shared" si="67"/>
        <v>0</v>
      </c>
      <c r="AI76" s="304">
        <f t="shared" si="67"/>
        <v>0</v>
      </c>
      <c r="AJ76" s="304">
        <f aca="true" t="shared" si="68" ref="AJ76:BO76">SUM(AJ77:AJ84)</f>
        <v>0</v>
      </c>
      <c r="AK76" s="304">
        <f t="shared" si="68"/>
        <v>0</v>
      </c>
      <c r="AL76" s="304">
        <f t="shared" si="68"/>
        <v>0</v>
      </c>
      <c r="AM76" s="304">
        <f t="shared" si="68"/>
        <v>6.72</v>
      </c>
      <c r="AN76" s="304">
        <f t="shared" si="68"/>
        <v>0</v>
      </c>
      <c r="AO76" s="304">
        <f t="shared" si="68"/>
        <v>0</v>
      </c>
      <c r="AP76" s="304">
        <f t="shared" si="68"/>
        <v>0</v>
      </c>
      <c r="AQ76" s="304">
        <f t="shared" si="68"/>
        <v>10.62</v>
      </c>
      <c r="AR76" s="304">
        <f t="shared" si="68"/>
        <v>0</v>
      </c>
      <c r="AS76" s="304">
        <f t="shared" si="68"/>
        <v>0</v>
      </c>
      <c r="AT76" s="304">
        <f t="shared" si="68"/>
        <v>0</v>
      </c>
      <c r="AU76" s="304">
        <f t="shared" si="68"/>
        <v>0</v>
      </c>
      <c r="AV76" s="304">
        <f t="shared" si="68"/>
        <v>0</v>
      </c>
      <c r="AW76" s="304">
        <f t="shared" si="68"/>
        <v>0</v>
      </c>
      <c r="AX76" s="304">
        <f t="shared" si="68"/>
        <v>0</v>
      </c>
      <c r="AY76" s="304">
        <f t="shared" si="68"/>
        <v>0</v>
      </c>
      <c r="AZ76" s="304">
        <f t="shared" si="68"/>
        <v>0</v>
      </c>
      <c r="BA76" s="304">
        <f t="shared" si="68"/>
        <v>0.85</v>
      </c>
      <c r="BB76" s="304">
        <f t="shared" si="68"/>
        <v>0</v>
      </c>
      <c r="BC76" s="304">
        <f t="shared" si="68"/>
        <v>0</v>
      </c>
      <c r="BD76" s="304">
        <f t="shared" si="68"/>
        <v>0</v>
      </c>
      <c r="BE76" s="304">
        <f t="shared" si="68"/>
        <v>0</v>
      </c>
      <c r="BF76" s="304">
        <f t="shared" si="68"/>
        <v>0</v>
      </c>
      <c r="BG76" s="304">
        <f t="shared" si="68"/>
        <v>0</v>
      </c>
      <c r="BH76" s="340">
        <f t="shared" si="68"/>
        <v>4.84</v>
      </c>
      <c r="BI76" s="340">
        <f t="shared" si="68"/>
        <v>0</v>
      </c>
      <c r="BJ76" s="340">
        <f t="shared" si="68"/>
        <v>0</v>
      </c>
      <c r="BK76" s="340">
        <f t="shared" si="68"/>
        <v>0</v>
      </c>
      <c r="BL76" s="340">
        <f t="shared" si="68"/>
        <v>10.62</v>
      </c>
      <c r="BM76" s="340">
        <f t="shared" si="68"/>
        <v>0</v>
      </c>
      <c r="BN76" s="340">
        <f t="shared" si="68"/>
        <v>0</v>
      </c>
      <c r="BO76" s="304">
        <f t="shared" si="68"/>
        <v>1.03</v>
      </c>
      <c r="BP76" s="251">
        <f aca="true" t="shared" si="69" ref="BP76:BU76">SUM(BP77:BP84)</f>
        <v>0</v>
      </c>
      <c r="BQ76" s="251">
        <f t="shared" si="69"/>
        <v>0</v>
      </c>
      <c r="BR76" s="251">
        <f t="shared" si="69"/>
        <v>0</v>
      </c>
      <c r="BS76" s="342">
        <f t="shared" si="69"/>
        <v>0</v>
      </c>
      <c r="BT76" s="251">
        <f t="shared" si="69"/>
        <v>0</v>
      </c>
      <c r="BU76" s="251">
        <f t="shared" si="69"/>
        <v>0</v>
      </c>
      <c r="BV76" s="245"/>
      <c r="BX76" s="247"/>
      <c r="BY76" s="248"/>
    </row>
    <row r="77" spans="1:77" ht="31.5">
      <c r="A77" s="65" t="s">
        <v>124</v>
      </c>
      <c r="B77" s="228" t="s">
        <v>127</v>
      </c>
      <c r="C77" s="268"/>
      <c r="D77" s="249">
        <f aca="true" t="shared" si="70" ref="D77:D84">K77+R77+Y77+AF77</f>
        <v>0</v>
      </c>
      <c r="E77" s="249">
        <f aca="true" t="shared" si="71" ref="E77:E84">L77+S77+Z77+AG77</f>
        <v>0</v>
      </c>
      <c r="F77" s="249">
        <f aca="true" t="shared" si="72" ref="F77:F84">M77+T77+AA77+AH77</f>
        <v>0</v>
      </c>
      <c r="G77" s="249">
        <f aca="true" t="shared" si="73" ref="G77:G84">N77+U77+AB77+AI77</f>
        <v>0</v>
      </c>
      <c r="H77" s="249">
        <f aca="true" t="shared" si="74" ref="H77:H84">O77+V77+AC77+AJ77</f>
        <v>0</v>
      </c>
      <c r="I77" s="249">
        <f aca="true" t="shared" si="75" ref="I77:I84">P77+W77+AD77+AK77</f>
        <v>0</v>
      </c>
      <c r="J77" s="249">
        <f aca="true" t="shared" si="76" ref="J77:J84">Q77+X77+AE77+AL77</f>
        <v>0</v>
      </c>
      <c r="K77" s="250">
        <v>0</v>
      </c>
      <c r="L77" s="250">
        <v>0</v>
      </c>
      <c r="M77" s="250">
        <v>0</v>
      </c>
      <c r="N77" s="250">
        <v>0</v>
      </c>
      <c r="O77" s="250">
        <v>0</v>
      </c>
      <c r="P77" s="250">
        <v>0</v>
      </c>
      <c r="Q77" s="250">
        <v>0</v>
      </c>
      <c r="R77" s="250">
        <v>0</v>
      </c>
      <c r="S77" s="250">
        <v>0</v>
      </c>
      <c r="T77" s="250">
        <v>0</v>
      </c>
      <c r="U77" s="250">
        <v>0</v>
      </c>
      <c r="V77" s="250">
        <v>0</v>
      </c>
      <c r="W77" s="250">
        <v>0</v>
      </c>
      <c r="X77" s="250">
        <v>0</v>
      </c>
      <c r="Y77" s="250">
        <v>0</v>
      </c>
      <c r="Z77" s="250">
        <v>0</v>
      </c>
      <c r="AA77" s="250">
        <v>0</v>
      </c>
      <c r="AB77" s="250">
        <v>0</v>
      </c>
      <c r="AC77" s="250">
        <v>0</v>
      </c>
      <c r="AD77" s="250">
        <v>0</v>
      </c>
      <c r="AE77" s="250">
        <v>0</v>
      </c>
      <c r="AF77" s="249">
        <v>0</v>
      </c>
      <c r="AG77" s="250">
        <v>0</v>
      </c>
      <c r="AH77" s="250">
        <v>0</v>
      </c>
      <c r="AI77" s="302">
        <v>0</v>
      </c>
      <c r="AJ77" s="302">
        <v>0</v>
      </c>
      <c r="AK77" s="302">
        <v>0</v>
      </c>
      <c r="AL77" s="302">
        <v>0</v>
      </c>
      <c r="AM77" s="303">
        <f aca="true" t="shared" si="77" ref="AM77:AM84">AT77+BA77+BH77+BO77</f>
        <v>6.72</v>
      </c>
      <c r="AN77" s="303">
        <f aca="true" t="shared" si="78" ref="AN77:AN84">AU77+BB77+BI77+BP77</f>
        <v>0</v>
      </c>
      <c r="AO77" s="303">
        <f aca="true" t="shared" si="79" ref="AO77:AO84">AV77+BC77+BJ77+BQ77</f>
        <v>0</v>
      </c>
      <c r="AP77" s="303">
        <f aca="true" t="shared" si="80" ref="AP77:AP84">AW77+BD77+BK77+BR77</f>
        <v>0</v>
      </c>
      <c r="AQ77" s="303">
        <f aca="true" t="shared" si="81" ref="AQ77:AQ84">AX77+BE77+BL77+BS77</f>
        <v>0</v>
      </c>
      <c r="AR77" s="303">
        <f aca="true" t="shared" si="82" ref="AR77:AR84">AY77+BF77+BM77+BT77</f>
        <v>0</v>
      </c>
      <c r="AS77" s="303">
        <f aca="true" t="shared" si="83" ref="AS77:AS84">AZ77+BG77+BN77+BU77</f>
        <v>0</v>
      </c>
      <c r="AT77" s="302">
        <v>0</v>
      </c>
      <c r="AU77" s="302">
        <v>0</v>
      </c>
      <c r="AV77" s="302">
        <v>0</v>
      </c>
      <c r="AW77" s="302">
        <v>0</v>
      </c>
      <c r="AX77" s="302">
        <v>0</v>
      </c>
      <c r="AY77" s="302">
        <v>0</v>
      </c>
      <c r="AZ77" s="302">
        <v>0</v>
      </c>
      <c r="BA77" s="302">
        <v>0.85</v>
      </c>
      <c r="BB77" s="302">
        <v>0</v>
      </c>
      <c r="BC77" s="302">
        <v>0</v>
      </c>
      <c r="BD77" s="302">
        <v>0</v>
      </c>
      <c r="BE77" s="302">
        <v>0</v>
      </c>
      <c r="BF77" s="302">
        <v>0</v>
      </c>
      <c r="BG77" s="302">
        <v>0</v>
      </c>
      <c r="BH77" s="341">
        <v>4.84</v>
      </c>
      <c r="BI77" s="341">
        <v>0</v>
      </c>
      <c r="BJ77" s="341">
        <v>0</v>
      </c>
      <c r="BK77" s="341">
        <v>0</v>
      </c>
      <c r="BL77" s="341">
        <v>0</v>
      </c>
      <c r="BM77" s="341">
        <v>0</v>
      </c>
      <c r="BN77" s="341">
        <v>0</v>
      </c>
      <c r="BO77" s="302">
        <v>1.03</v>
      </c>
      <c r="BP77" s="250">
        <v>0</v>
      </c>
      <c r="BQ77" s="250">
        <v>0</v>
      </c>
      <c r="BR77" s="250">
        <v>0</v>
      </c>
      <c r="BS77" s="343">
        <v>0</v>
      </c>
      <c r="BT77" s="250">
        <v>0</v>
      </c>
      <c r="BU77" s="250">
        <v>0</v>
      </c>
      <c r="BV77" s="229"/>
      <c r="BX77" s="240"/>
      <c r="BY77" s="243"/>
    </row>
    <row r="78" spans="1:77" ht="18.75">
      <c r="A78" s="65" t="s">
        <v>124</v>
      </c>
      <c r="B78" s="228" t="s">
        <v>130</v>
      </c>
      <c r="C78" s="268"/>
      <c r="D78" s="249">
        <f t="shared" si="70"/>
        <v>0</v>
      </c>
      <c r="E78" s="249">
        <f t="shared" si="71"/>
        <v>0</v>
      </c>
      <c r="F78" s="249">
        <f t="shared" si="72"/>
        <v>0</v>
      </c>
      <c r="G78" s="249">
        <f t="shared" si="73"/>
        <v>0</v>
      </c>
      <c r="H78" s="249">
        <f t="shared" si="74"/>
        <v>0</v>
      </c>
      <c r="I78" s="249">
        <f t="shared" si="75"/>
        <v>0</v>
      </c>
      <c r="J78" s="249">
        <f t="shared" si="76"/>
        <v>0</v>
      </c>
      <c r="K78" s="250">
        <v>0</v>
      </c>
      <c r="L78" s="250">
        <v>0</v>
      </c>
      <c r="M78" s="250">
        <v>0</v>
      </c>
      <c r="N78" s="250">
        <v>0</v>
      </c>
      <c r="O78" s="250">
        <v>0</v>
      </c>
      <c r="P78" s="250">
        <v>0</v>
      </c>
      <c r="Q78" s="250">
        <v>0</v>
      </c>
      <c r="R78" s="250">
        <v>0</v>
      </c>
      <c r="S78" s="250">
        <v>0</v>
      </c>
      <c r="T78" s="250">
        <v>0</v>
      </c>
      <c r="U78" s="250">
        <v>0</v>
      </c>
      <c r="V78" s="250">
        <v>0</v>
      </c>
      <c r="W78" s="250">
        <v>0</v>
      </c>
      <c r="X78" s="250">
        <v>0</v>
      </c>
      <c r="Y78" s="250">
        <v>0</v>
      </c>
      <c r="Z78" s="250">
        <v>0</v>
      </c>
      <c r="AA78" s="250">
        <v>0</v>
      </c>
      <c r="AB78" s="250">
        <v>0</v>
      </c>
      <c r="AC78" s="250">
        <v>0</v>
      </c>
      <c r="AD78" s="250">
        <v>0</v>
      </c>
      <c r="AE78" s="250">
        <v>0</v>
      </c>
      <c r="AF78" s="250">
        <v>0</v>
      </c>
      <c r="AG78" s="250">
        <v>0</v>
      </c>
      <c r="AH78" s="250">
        <v>0</v>
      </c>
      <c r="AI78" s="302">
        <v>0</v>
      </c>
      <c r="AJ78" s="303">
        <v>0</v>
      </c>
      <c r="AK78" s="302">
        <v>0</v>
      </c>
      <c r="AL78" s="302">
        <v>0</v>
      </c>
      <c r="AM78" s="303">
        <f t="shared" si="77"/>
        <v>0</v>
      </c>
      <c r="AN78" s="303">
        <f t="shared" si="78"/>
        <v>0</v>
      </c>
      <c r="AO78" s="303">
        <f t="shared" si="79"/>
        <v>0</v>
      </c>
      <c r="AP78" s="303">
        <f t="shared" si="80"/>
        <v>0</v>
      </c>
      <c r="AQ78" s="303">
        <f t="shared" si="81"/>
        <v>0</v>
      </c>
      <c r="AR78" s="303">
        <f t="shared" si="82"/>
        <v>0</v>
      </c>
      <c r="AS78" s="303">
        <f t="shared" si="83"/>
        <v>0</v>
      </c>
      <c r="AT78" s="302">
        <v>0</v>
      </c>
      <c r="AU78" s="302">
        <v>0</v>
      </c>
      <c r="AV78" s="302">
        <v>0</v>
      </c>
      <c r="AW78" s="302">
        <v>0</v>
      </c>
      <c r="AX78" s="302">
        <v>0</v>
      </c>
      <c r="AY78" s="302">
        <v>0</v>
      </c>
      <c r="AZ78" s="302">
        <v>0</v>
      </c>
      <c r="BA78" s="302">
        <v>0</v>
      </c>
      <c r="BB78" s="302">
        <v>0</v>
      </c>
      <c r="BC78" s="302">
        <v>0</v>
      </c>
      <c r="BD78" s="302">
        <v>0</v>
      </c>
      <c r="BE78" s="302">
        <v>0</v>
      </c>
      <c r="BF78" s="302">
        <v>0</v>
      </c>
      <c r="BG78" s="302">
        <v>0</v>
      </c>
      <c r="BH78" s="341">
        <v>0</v>
      </c>
      <c r="BI78" s="341">
        <v>0</v>
      </c>
      <c r="BJ78" s="341">
        <v>0</v>
      </c>
      <c r="BK78" s="341">
        <v>0</v>
      </c>
      <c r="BL78" s="341">
        <v>0</v>
      </c>
      <c r="BM78" s="341">
        <v>0</v>
      </c>
      <c r="BN78" s="341">
        <v>0</v>
      </c>
      <c r="BO78" s="302">
        <v>0</v>
      </c>
      <c r="BP78" s="250">
        <v>0</v>
      </c>
      <c r="BQ78" s="250">
        <v>0</v>
      </c>
      <c r="BR78" s="250">
        <v>0</v>
      </c>
      <c r="BS78" s="343">
        <v>0</v>
      </c>
      <c r="BT78" s="250">
        <v>0</v>
      </c>
      <c r="BU78" s="250">
        <v>0</v>
      </c>
      <c r="BV78" s="229"/>
      <c r="BX78" s="240"/>
      <c r="BY78" s="243"/>
    </row>
    <row r="79" spans="1:77" ht="18.75">
      <c r="A79" s="65" t="s">
        <v>124</v>
      </c>
      <c r="B79" s="228" t="s">
        <v>132</v>
      </c>
      <c r="C79" s="268"/>
      <c r="D79" s="249">
        <f t="shared" si="70"/>
        <v>0</v>
      </c>
      <c r="E79" s="249">
        <f t="shared" si="71"/>
        <v>0</v>
      </c>
      <c r="F79" s="249">
        <f t="shared" si="72"/>
        <v>0</v>
      </c>
      <c r="G79" s="249">
        <f t="shared" si="73"/>
        <v>0</v>
      </c>
      <c r="H79" s="249">
        <f t="shared" si="74"/>
        <v>0</v>
      </c>
      <c r="I79" s="249">
        <f t="shared" si="75"/>
        <v>0</v>
      </c>
      <c r="J79" s="249">
        <f t="shared" si="76"/>
        <v>0</v>
      </c>
      <c r="K79" s="250">
        <v>0</v>
      </c>
      <c r="L79" s="250">
        <v>0</v>
      </c>
      <c r="M79" s="250">
        <v>0</v>
      </c>
      <c r="N79" s="250">
        <v>0</v>
      </c>
      <c r="O79" s="250">
        <v>0</v>
      </c>
      <c r="P79" s="250">
        <v>0</v>
      </c>
      <c r="Q79" s="250">
        <v>0</v>
      </c>
      <c r="R79" s="250">
        <v>0</v>
      </c>
      <c r="S79" s="250">
        <v>0</v>
      </c>
      <c r="T79" s="250">
        <v>0</v>
      </c>
      <c r="U79" s="250">
        <v>0</v>
      </c>
      <c r="V79" s="250">
        <v>0</v>
      </c>
      <c r="W79" s="250">
        <v>0</v>
      </c>
      <c r="X79" s="250">
        <v>0</v>
      </c>
      <c r="Y79" s="250">
        <v>0</v>
      </c>
      <c r="Z79" s="250">
        <v>0</v>
      </c>
      <c r="AA79" s="250">
        <v>0</v>
      </c>
      <c r="AB79" s="250">
        <v>0</v>
      </c>
      <c r="AC79" s="250">
        <v>0</v>
      </c>
      <c r="AD79" s="250">
        <v>0</v>
      </c>
      <c r="AE79" s="250">
        <v>0</v>
      </c>
      <c r="AF79" s="250">
        <v>0</v>
      </c>
      <c r="AG79" s="250">
        <v>0</v>
      </c>
      <c r="AH79" s="250">
        <v>0</v>
      </c>
      <c r="AI79" s="302">
        <v>0</v>
      </c>
      <c r="AJ79" s="303">
        <v>0</v>
      </c>
      <c r="AK79" s="302">
        <v>0</v>
      </c>
      <c r="AL79" s="302">
        <v>0</v>
      </c>
      <c r="AM79" s="303">
        <f t="shared" si="77"/>
        <v>0</v>
      </c>
      <c r="AN79" s="303">
        <f t="shared" si="78"/>
        <v>0</v>
      </c>
      <c r="AO79" s="303">
        <f t="shared" si="79"/>
        <v>0</v>
      </c>
      <c r="AP79" s="303">
        <f t="shared" si="80"/>
        <v>0</v>
      </c>
      <c r="AQ79" s="303">
        <f t="shared" si="81"/>
        <v>10.62</v>
      </c>
      <c r="AR79" s="303">
        <f t="shared" si="82"/>
        <v>0</v>
      </c>
      <c r="AS79" s="303">
        <f t="shared" si="83"/>
        <v>0</v>
      </c>
      <c r="AT79" s="302">
        <v>0</v>
      </c>
      <c r="AU79" s="302">
        <v>0</v>
      </c>
      <c r="AV79" s="302">
        <v>0</v>
      </c>
      <c r="AW79" s="302">
        <v>0</v>
      </c>
      <c r="AX79" s="302">
        <v>0</v>
      </c>
      <c r="AY79" s="302">
        <v>0</v>
      </c>
      <c r="AZ79" s="302">
        <v>0</v>
      </c>
      <c r="BA79" s="302">
        <v>0</v>
      </c>
      <c r="BB79" s="302">
        <v>0</v>
      </c>
      <c r="BC79" s="302">
        <v>0</v>
      </c>
      <c r="BD79" s="302">
        <v>0</v>
      </c>
      <c r="BE79" s="302">
        <v>0</v>
      </c>
      <c r="BF79" s="302">
        <v>0</v>
      </c>
      <c r="BG79" s="302">
        <v>0</v>
      </c>
      <c r="BH79" s="341">
        <v>0</v>
      </c>
      <c r="BI79" s="341">
        <v>0</v>
      </c>
      <c r="BJ79" s="341">
        <v>0</v>
      </c>
      <c r="BK79" s="341">
        <v>0</v>
      </c>
      <c r="BL79" s="341">
        <v>10.62</v>
      </c>
      <c r="BM79" s="341">
        <v>0</v>
      </c>
      <c r="BN79" s="341">
        <v>0</v>
      </c>
      <c r="BO79" s="302">
        <v>0</v>
      </c>
      <c r="BP79" s="250">
        <v>0</v>
      </c>
      <c r="BQ79" s="250">
        <v>0</v>
      </c>
      <c r="BR79" s="250">
        <v>0</v>
      </c>
      <c r="BS79" s="343">
        <v>0</v>
      </c>
      <c r="BT79" s="250">
        <v>0</v>
      </c>
      <c r="BU79" s="250">
        <v>0</v>
      </c>
      <c r="BV79" s="229"/>
      <c r="BX79" s="240"/>
      <c r="BY79" s="243"/>
    </row>
    <row r="80" spans="1:77" ht="18.75">
      <c r="A80" s="65" t="s">
        <v>124</v>
      </c>
      <c r="B80" s="228" t="s">
        <v>135</v>
      </c>
      <c r="C80" s="268"/>
      <c r="D80" s="249">
        <f t="shared" si="70"/>
        <v>0</v>
      </c>
      <c r="E80" s="249">
        <f t="shared" si="71"/>
        <v>0</v>
      </c>
      <c r="F80" s="249">
        <f t="shared" si="72"/>
        <v>0</v>
      </c>
      <c r="G80" s="249">
        <f t="shared" si="73"/>
        <v>0</v>
      </c>
      <c r="H80" s="249">
        <f t="shared" si="74"/>
        <v>0</v>
      </c>
      <c r="I80" s="249">
        <f t="shared" si="75"/>
        <v>0</v>
      </c>
      <c r="J80" s="249">
        <f t="shared" si="76"/>
        <v>0</v>
      </c>
      <c r="K80" s="250">
        <v>0</v>
      </c>
      <c r="L80" s="250">
        <v>0</v>
      </c>
      <c r="M80" s="250">
        <v>0</v>
      </c>
      <c r="N80" s="250">
        <v>0</v>
      </c>
      <c r="O80" s="250">
        <v>0</v>
      </c>
      <c r="P80" s="250">
        <v>0</v>
      </c>
      <c r="Q80" s="250">
        <v>0</v>
      </c>
      <c r="R80" s="250">
        <v>0</v>
      </c>
      <c r="S80" s="250">
        <v>0</v>
      </c>
      <c r="T80" s="250">
        <v>0</v>
      </c>
      <c r="U80" s="250">
        <v>0</v>
      </c>
      <c r="V80" s="250">
        <v>0</v>
      </c>
      <c r="W80" s="250">
        <v>0</v>
      </c>
      <c r="X80" s="250">
        <v>0</v>
      </c>
      <c r="Y80" s="250">
        <v>0</v>
      </c>
      <c r="Z80" s="250">
        <v>0</v>
      </c>
      <c r="AA80" s="250">
        <v>0</v>
      </c>
      <c r="AB80" s="250">
        <v>0</v>
      </c>
      <c r="AC80" s="250">
        <v>0</v>
      </c>
      <c r="AD80" s="250">
        <v>0</v>
      </c>
      <c r="AE80" s="250">
        <v>0</v>
      </c>
      <c r="AF80" s="250">
        <v>0</v>
      </c>
      <c r="AG80" s="250">
        <v>0</v>
      </c>
      <c r="AH80" s="250">
        <v>0</v>
      </c>
      <c r="AI80" s="302">
        <v>0</v>
      </c>
      <c r="AJ80" s="302">
        <v>0</v>
      </c>
      <c r="AK80" s="302">
        <v>0</v>
      </c>
      <c r="AL80" s="302">
        <v>0</v>
      </c>
      <c r="AM80" s="303">
        <f t="shared" si="77"/>
        <v>0</v>
      </c>
      <c r="AN80" s="303">
        <f t="shared" si="78"/>
        <v>0</v>
      </c>
      <c r="AO80" s="303">
        <f t="shared" si="79"/>
        <v>0</v>
      </c>
      <c r="AP80" s="303">
        <f t="shared" si="80"/>
        <v>0</v>
      </c>
      <c r="AQ80" s="303">
        <f t="shared" si="81"/>
        <v>0</v>
      </c>
      <c r="AR80" s="303">
        <f t="shared" si="82"/>
        <v>0</v>
      </c>
      <c r="AS80" s="303">
        <f t="shared" si="83"/>
        <v>0</v>
      </c>
      <c r="AT80" s="302">
        <v>0</v>
      </c>
      <c r="AU80" s="302">
        <v>0</v>
      </c>
      <c r="AV80" s="302">
        <v>0</v>
      </c>
      <c r="AW80" s="302">
        <v>0</v>
      </c>
      <c r="AX80" s="302">
        <v>0</v>
      </c>
      <c r="AY80" s="302">
        <v>0</v>
      </c>
      <c r="AZ80" s="302">
        <v>0</v>
      </c>
      <c r="BA80" s="302">
        <v>0</v>
      </c>
      <c r="BB80" s="302">
        <v>0</v>
      </c>
      <c r="BC80" s="302">
        <v>0</v>
      </c>
      <c r="BD80" s="302">
        <v>0</v>
      </c>
      <c r="BE80" s="302">
        <v>0</v>
      </c>
      <c r="BF80" s="302">
        <v>0</v>
      </c>
      <c r="BG80" s="302">
        <v>0</v>
      </c>
      <c r="BH80" s="341">
        <v>0</v>
      </c>
      <c r="BI80" s="341">
        <v>0</v>
      </c>
      <c r="BJ80" s="341">
        <v>0</v>
      </c>
      <c r="BK80" s="341">
        <v>0</v>
      </c>
      <c r="BL80" s="341">
        <v>0</v>
      </c>
      <c r="BM80" s="341">
        <v>0</v>
      </c>
      <c r="BN80" s="341">
        <v>0</v>
      </c>
      <c r="BO80" s="302">
        <v>0</v>
      </c>
      <c r="BP80" s="250">
        <v>0</v>
      </c>
      <c r="BQ80" s="250">
        <v>0</v>
      </c>
      <c r="BR80" s="250">
        <v>0</v>
      </c>
      <c r="BS80" s="343">
        <v>0</v>
      </c>
      <c r="BT80" s="250">
        <v>0</v>
      </c>
      <c r="BU80" s="250">
        <v>0</v>
      </c>
      <c r="BV80" s="229"/>
      <c r="BX80" s="240"/>
      <c r="BY80" s="243"/>
    </row>
    <row r="81" spans="1:77" ht="47.25">
      <c r="A81" s="65"/>
      <c r="B81" s="233" t="s">
        <v>137</v>
      </c>
      <c r="C81" s="268"/>
      <c r="D81" s="249">
        <f t="shared" si="70"/>
        <v>0</v>
      </c>
      <c r="E81" s="249">
        <f t="shared" si="71"/>
        <v>0</v>
      </c>
      <c r="F81" s="249">
        <f t="shared" si="72"/>
        <v>0</v>
      </c>
      <c r="G81" s="249">
        <f t="shared" si="73"/>
        <v>0</v>
      </c>
      <c r="H81" s="249">
        <f t="shared" si="74"/>
        <v>0</v>
      </c>
      <c r="I81" s="249">
        <f t="shared" si="75"/>
        <v>0</v>
      </c>
      <c r="J81" s="249">
        <f t="shared" si="76"/>
        <v>0</v>
      </c>
      <c r="K81" s="250">
        <v>0</v>
      </c>
      <c r="L81" s="250">
        <v>0</v>
      </c>
      <c r="M81" s="250">
        <v>0</v>
      </c>
      <c r="N81" s="250">
        <v>0</v>
      </c>
      <c r="O81" s="250">
        <v>0</v>
      </c>
      <c r="P81" s="250">
        <v>0</v>
      </c>
      <c r="Q81" s="250">
        <v>0</v>
      </c>
      <c r="R81" s="250">
        <v>0</v>
      </c>
      <c r="S81" s="250">
        <v>0</v>
      </c>
      <c r="T81" s="250">
        <v>0</v>
      </c>
      <c r="U81" s="250">
        <v>0</v>
      </c>
      <c r="V81" s="250">
        <v>0</v>
      </c>
      <c r="W81" s="250">
        <v>0</v>
      </c>
      <c r="X81" s="250">
        <v>0</v>
      </c>
      <c r="Y81" s="250">
        <v>0</v>
      </c>
      <c r="Z81" s="250">
        <v>0</v>
      </c>
      <c r="AA81" s="250">
        <v>0</v>
      </c>
      <c r="AB81" s="250">
        <v>0</v>
      </c>
      <c r="AC81" s="250">
        <v>0</v>
      </c>
      <c r="AD81" s="250">
        <v>0</v>
      </c>
      <c r="AE81" s="250">
        <v>0</v>
      </c>
      <c r="AF81" s="250">
        <v>0</v>
      </c>
      <c r="AG81" s="250">
        <v>0</v>
      </c>
      <c r="AH81" s="250">
        <v>0</v>
      </c>
      <c r="AI81" s="302">
        <v>0</v>
      </c>
      <c r="AJ81" s="302">
        <v>0</v>
      </c>
      <c r="AK81" s="302">
        <v>0</v>
      </c>
      <c r="AL81" s="302">
        <v>0</v>
      </c>
      <c r="AM81" s="303">
        <f t="shared" si="77"/>
        <v>0</v>
      </c>
      <c r="AN81" s="303">
        <f t="shared" si="78"/>
        <v>0</v>
      </c>
      <c r="AO81" s="303">
        <f t="shared" si="79"/>
        <v>0</v>
      </c>
      <c r="AP81" s="303">
        <f t="shared" si="80"/>
        <v>0</v>
      </c>
      <c r="AQ81" s="303">
        <f t="shared" si="81"/>
        <v>0</v>
      </c>
      <c r="AR81" s="303">
        <f t="shared" si="82"/>
        <v>0</v>
      </c>
      <c r="AS81" s="303">
        <f t="shared" si="83"/>
        <v>0</v>
      </c>
      <c r="AT81" s="302">
        <v>0</v>
      </c>
      <c r="AU81" s="302">
        <v>0</v>
      </c>
      <c r="AV81" s="302">
        <v>0</v>
      </c>
      <c r="AW81" s="302">
        <v>0</v>
      </c>
      <c r="AX81" s="302">
        <v>0</v>
      </c>
      <c r="AY81" s="302">
        <v>0</v>
      </c>
      <c r="AZ81" s="302">
        <v>0</v>
      </c>
      <c r="BA81" s="302">
        <v>0</v>
      </c>
      <c r="BB81" s="302">
        <v>0</v>
      </c>
      <c r="BC81" s="302">
        <v>0</v>
      </c>
      <c r="BD81" s="302">
        <v>0</v>
      </c>
      <c r="BE81" s="302">
        <v>0</v>
      </c>
      <c r="BF81" s="302">
        <v>0</v>
      </c>
      <c r="BG81" s="302">
        <v>0</v>
      </c>
      <c r="BH81" s="341">
        <v>0</v>
      </c>
      <c r="BI81" s="341">
        <v>0</v>
      </c>
      <c r="BJ81" s="341">
        <v>0</v>
      </c>
      <c r="BK81" s="341">
        <v>0</v>
      </c>
      <c r="BL81" s="341">
        <v>0</v>
      </c>
      <c r="BM81" s="341">
        <v>0</v>
      </c>
      <c r="BN81" s="341">
        <v>0</v>
      </c>
      <c r="BO81" s="302">
        <v>0</v>
      </c>
      <c r="BP81" s="250">
        <v>0</v>
      </c>
      <c r="BQ81" s="250">
        <v>0</v>
      </c>
      <c r="BR81" s="250">
        <v>0</v>
      </c>
      <c r="BS81" s="343">
        <v>0</v>
      </c>
      <c r="BT81" s="250">
        <v>0</v>
      </c>
      <c r="BU81" s="250">
        <v>0</v>
      </c>
      <c r="BV81" s="229"/>
      <c r="BX81" s="240"/>
      <c r="BY81" s="243"/>
    </row>
    <row r="82" spans="1:77" ht="31.5">
      <c r="A82" s="65"/>
      <c r="B82" s="183" t="s">
        <v>139</v>
      </c>
      <c r="C82" s="268"/>
      <c r="D82" s="249">
        <f t="shared" si="70"/>
        <v>0</v>
      </c>
      <c r="E82" s="249">
        <f t="shared" si="71"/>
        <v>0</v>
      </c>
      <c r="F82" s="249">
        <f t="shared" si="72"/>
        <v>0</v>
      </c>
      <c r="G82" s="249">
        <f t="shared" si="73"/>
        <v>0</v>
      </c>
      <c r="H82" s="249">
        <f t="shared" si="74"/>
        <v>0</v>
      </c>
      <c r="I82" s="249">
        <f t="shared" si="75"/>
        <v>0</v>
      </c>
      <c r="J82" s="249">
        <f t="shared" si="76"/>
        <v>0</v>
      </c>
      <c r="K82" s="250">
        <v>0</v>
      </c>
      <c r="L82" s="250">
        <v>0</v>
      </c>
      <c r="M82" s="250">
        <v>0</v>
      </c>
      <c r="N82" s="250">
        <v>0</v>
      </c>
      <c r="O82" s="250">
        <v>0</v>
      </c>
      <c r="P82" s="250">
        <v>0</v>
      </c>
      <c r="Q82" s="250">
        <v>0</v>
      </c>
      <c r="R82" s="250">
        <v>0</v>
      </c>
      <c r="S82" s="250">
        <v>0</v>
      </c>
      <c r="T82" s="250">
        <v>0</v>
      </c>
      <c r="U82" s="250">
        <v>0</v>
      </c>
      <c r="V82" s="250">
        <v>0</v>
      </c>
      <c r="W82" s="250">
        <v>0</v>
      </c>
      <c r="X82" s="250">
        <v>0</v>
      </c>
      <c r="Y82" s="250">
        <v>0</v>
      </c>
      <c r="Z82" s="250">
        <v>0</v>
      </c>
      <c r="AA82" s="250">
        <v>0</v>
      </c>
      <c r="AB82" s="250">
        <v>0</v>
      </c>
      <c r="AC82" s="250">
        <v>0</v>
      </c>
      <c r="AD82" s="250">
        <v>0</v>
      </c>
      <c r="AE82" s="250">
        <v>0</v>
      </c>
      <c r="AF82" s="250">
        <v>0</v>
      </c>
      <c r="AG82" s="250">
        <v>0</v>
      </c>
      <c r="AH82" s="250">
        <v>0</v>
      </c>
      <c r="AI82" s="302">
        <v>0</v>
      </c>
      <c r="AJ82" s="302">
        <v>0</v>
      </c>
      <c r="AK82" s="302">
        <v>0</v>
      </c>
      <c r="AL82" s="302">
        <v>0</v>
      </c>
      <c r="AM82" s="303">
        <f t="shared" si="77"/>
        <v>0</v>
      </c>
      <c r="AN82" s="303">
        <f t="shared" si="78"/>
        <v>0</v>
      </c>
      <c r="AO82" s="303">
        <f t="shared" si="79"/>
        <v>0</v>
      </c>
      <c r="AP82" s="303">
        <f t="shared" si="80"/>
        <v>0</v>
      </c>
      <c r="AQ82" s="303">
        <f t="shared" si="81"/>
        <v>0</v>
      </c>
      <c r="AR82" s="303">
        <f t="shared" si="82"/>
        <v>0</v>
      </c>
      <c r="AS82" s="303">
        <f t="shared" si="83"/>
        <v>0</v>
      </c>
      <c r="AT82" s="302">
        <v>0</v>
      </c>
      <c r="AU82" s="302">
        <v>0</v>
      </c>
      <c r="AV82" s="302">
        <v>0</v>
      </c>
      <c r="AW82" s="302">
        <v>0</v>
      </c>
      <c r="AX82" s="302">
        <v>0</v>
      </c>
      <c r="AY82" s="302">
        <v>0</v>
      </c>
      <c r="AZ82" s="302">
        <v>0</v>
      </c>
      <c r="BA82" s="302">
        <v>0</v>
      </c>
      <c r="BB82" s="302">
        <v>0</v>
      </c>
      <c r="BC82" s="302">
        <v>0</v>
      </c>
      <c r="BD82" s="302">
        <v>0</v>
      </c>
      <c r="BE82" s="302">
        <v>0</v>
      </c>
      <c r="BF82" s="302">
        <v>0</v>
      </c>
      <c r="BG82" s="302">
        <v>0</v>
      </c>
      <c r="BH82" s="341">
        <v>0</v>
      </c>
      <c r="BI82" s="341">
        <v>0</v>
      </c>
      <c r="BJ82" s="341">
        <v>0</v>
      </c>
      <c r="BK82" s="341">
        <v>0</v>
      </c>
      <c r="BL82" s="341">
        <v>0</v>
      </c>
      <c r="BM82" s="341">
        <v>0</v>
      </c>
      <c r="BN82" s="341">
        <v>0</v>
      </c>
      <c r="BO82" s="302">
        <v>0</v>
      </c>
      <c r="BP82" s="250">
        <v>0</v>
      </c>
      <c r="BQ82" s="250">
        <v>0</v>
      </c>
      <c r="BR82" s="250">
        <v>0</v>
      </c>
      <c r="BS82" s="343">
        <v>0</v>
      </c>
      <c r="BT82" s="250">
        <v>0</v>
      </c>
      <c r="BU82" s="250">
        <v>0</v>
      </c>
      <c r="BV82" s="229"/>
      <c r="BX82" s="240"/>
      <c r="BY82" s="243"/>
    </row>
    <row r="83" spans="1:77" ht="63">
      <c r="A83" s="65"/>
      <c r="B83" s="183" t="s">
        <v>141</v>
      </c>
      <c r="C83" s="268"/>
      <c r="D83" s="249">
        <f t="shared" si="70"/>
        <v>0</v>
      </c>
      <c r="E83" s="249">
        <f t="shared" si="71"/>
        <v>0</v>
      </c>
      <c r="F83" s="249">
        <f t="shared" si="72"/>
        <v>0</v>
      </c>
      <c r="G83" s="249">
        <f t="shared" si="73"/>
        <v>0</v>
      </c>
      <c r="H83" s="249">
        <f t="shared" si="74"/>
        <v>0</v>
      </c>
      <c r="I83" s="249">
        <f t="shared" si="75"/>
        <v>0</v>
      </c>
      <c r="J83" s="249">
        <f t="shared" si="76"/>
        <v>0</v>
      </c>
      <c r="K83" s="250">
        <v>0</v>
      </c>
      <c r="L83" s="250">
        <v>0</v>
      </c>
      <c r="M83" s="250">
        <v>0</v>
      </c>
      <c r="N83" s="250">
        <v>0</v>
      </c>
      <c r="O83" s="250">
        <v>0</v>
      </c>
      <c r="P83" s="250">
        <v>0</v>
      </c>
      <c r="Q83" s="250">
        <v>0</v>
      </c>
      <c r="R83" s="250">
        <v>0</v>
      </c>
      <c r="S83" s="250">
        <v>0</v>
      </c>
      <c r="T83" s="250">
        <v>0</v>
      </c>
      <c r="U83" s="250">
        <v>0</v>
      </c>
      <c r="V83" s="250">
        <v>0</v>
      </c>
      <c r="W83" s="250">
        <v>0</v>
      </c>
      <c r="X83" s="250">
        <v>0</v>
      </c>
      <c r="Y83" s="250">
        <v>0</v>
      </c>
      <c r="Z83" s="250">
        <v>0</v>
      </c>
      <c r="AA83" s="250">
        <v>0</v>
      </c>
      <c r="AB83" s="250">
        <v>0</v>
      </c>
      <c r="AC83" s="250">
        <v>0</v>
      </c>
      <c r="AD83" s="250">
        <v>0</v>
      </c>
      <c r="AE83" s="250">
        <v>0</v>
      </c>
      <c r="AF83" s="250">
        <v>0</v>
      </c>
      <c r="AG83" s="250">
        <v>0</v>
      </c>
      <c r="AH83" s="250">
        <v>0</v>
      </c>
      <c r="AI83" s="302">
        <v>0</v>
      </c>
      <c r="AJ83" s="302">
        <v>0</v>
      </c>
      <c r="AK83" s="302">
        <v>0</v>
      </c>
      <c r="AL83" s="302">
        <v>0</v>
      </c>
      <c r="AM83" s="303">
        <f t="shared" si="77"/>
        <v>0</v>
      </c>
      <c r="AN83" s="303">
        <f t="shared" si="78"/>
        <v>0</v>
      </c>
      <c r="AO83" s="303">
        <f t="shared" si="79"/>
        <v>0</v>
      </c>
      <c r="AP83" s="303">
        <f t="shared" si="80"/>
        <v>0</v>
      </c>
      <c r="AQ83" s="303">
        <f t="shared" si="81"/>
        <v>0</v>
      </c>
      <c r="AR83" s="303">
        <f t="shared" si="82"/>
        <v>0</v>
      </c>
      <c r="AS83" s="303">
        <f t="shared" si="83"/>
        <v>0</v>
      </c>
      <c r="AT83" s="302">
        <v>0</v>
      </c>
      <c r="AU83" s="302">
        <v>0</v>
      </c>
      <c r="AV83" s="302">
        <v>0</v>
      </c>
      <c r="AW83" s="302">
        <v>0</v>
      </c>
      <c r="AX83" s="302">
        <v>0</v>
      </c>
      <c r="AY83" s="302">
        <v>0</v>
      </c>
      <c r="AZ83" s="302">
        <v>0</v>
      </c>
      <c r="BA83" s="302">
        <v>0</v>
      </c>
      <c r="BB83" s="302">
        <v>0</v>
      </c>
      <c r="BC83" s="302">
        <v>0</v>
      </c>
      <c r="BD83" s="302">
        <v>0</v>
      </c>
      <c r="BE83" s="302">
        <v>0</v>
      </c>
      <c r="BF83" s="302">
        <v>0</v>
      </c>
      <c r="BG83" s="302">
        <v>0</v>
      </c>
      <c r="BH83" s="341">
        <v>0</v>
      </c>
      <c r="BI83" s="341">
        <v>0</v>
      </c>
      <c r="BJ83" s="341">
        <v>0</v>
      </c>
      <c r="BK83" s="341">
        <v>0</v>
      </c>
      <c r="BL83" s="341">
        <v>0</v>
      </c>
      <c r="BM83" s="341">
        <v>0</v>
      </c>
      <c r="BN83" s="341">
        <v>0</v>
      </c>
      <c r="BO83" s="302">
        <v>0</v>
      </c>
      <c r="BP83" s="250">
        <v>0</v>
      </c>
      <c r="BQ83" s="250">
        <v>0</v>
      </c>
      <c r="BR83" s="250">
        <v>0</v>
      </c>
      <c r="BS83" s="343">
        <v>0</v>
      </c>
      <c r="BT83" s="250">
        <v>0</v>
      </c>
      <c r="BU83" s="250">
        <v>0</v>
      </c>
      <c r="BV83" s="229"/>
      <c r="BX83" s="240"/>
      <c r="BY83" s="243"/>
    </row>
    <row r="84" spans="1:77" ht="31.5">
      <c r="A84" s="65" t="s">
        <v>124</v>
      </c>
      <c r="B84" s="183" t="s">
        <v>143</v>
      </c>
      <c r="C84" s="268"/>
      <c r="D84" s="249">
        <f t="shared" si="70"/>
        <v>0</v>
      </c>
      <c r="E84" s="249">
        <f t="shared" si="71"/>
        <v>0</v>
      </c>
      <c r="F84" s="249">
        <f t="shared" si="72"/>
        <v>0</v>
      </c>
      <c r="G84" s="249">
        <f t="shared" si="73"/>
        <v>0</v>
      </c>
      <c r="H84" s="249">
        <f t="shared" si="74"/>
        <v>0</v>
      </c>
      <c r="I84" s="249">
        <f t="shared" si="75"/>
        <v>0</v>
      </c>
      <c r="J84" s="249">
        <f t="shared" si="76"/>
        <v>0</v>
      </c>
      <c r="K84" s="250">
        <v>0</v>
      </c>
      <c r="L84" s="250">
        <v>0</v>
      </c>
      <c r="M84" s="250">
        <v>0</v>
      </c>
      <c r="N84" s="250">
        <v>0</v>
      </c>
      <c r="O84" s="250">
        <v>0</v>
      </c>
      <c r="P84" s="250">
        <v>0</v>
      </c>
      <c r="Q84" s="250">
        <v>0</v>
      </c>
      <c r="R84" s="250">
        <v>0</v>
      </c>
      <c r="S84" s="250">
        <v>0</v>
      </c>
      <c r="T84" s="250">
        <v>0</v>
      </c>
      <c r="U84" s="250">
        <v>0</v>
      </c>
      <c r="V84" s="250">
        <v>0</v>
      </c>
      <c r="W84" s="250">
        <v>0</v>
      </c>
      <c r="X84" s="250">
        <v>0</v>
      </c>
      <c r="Y84" s="250">
        <v>0</v>
      </c>
      <c r="Z84" s="250">
        <v>0</v>
      </c>
      <c r="AA84" s="250">
        <v>0</v>
      </c>
      <c r="AB84" s="250">
        <v>0</v>
      </c>
      <c r="AC84" s="250">
        <v>0</v>
      </c>
      <c r="AD84" s="250">
        <v>0</v>
      </c>
      <c r="AE84" s="250">
        <v>0</v>
      </c>
      <c r="AF84" s="250">
        <v>0</v>
      </c>
      <c r="AG84" s="250">
        <v>0</v>
      </c>
      <c r="AH84" s="250">
        <v>0</v>
      </c>
      <c r="AI84" s="302">
        <v>0</v>
      </c>
      <c r="AJ84" s="302">
        <v>0</v>
      </c>
      <c r="AK84" s="302">
        <v>0</v>
      </c>
      <c r="AL84" s="302">
        <v>0</v>
      </c>
      <c r="AM84" s="303">
        <f t="shared" si="77"/>
        <v>0</v>
      </c>
      <c r="AN84" s="303">
        <f t="shared" si="78"/>
        <v>0</v>
      </c>
      <c r="AO84" s="303">
        <f t="shared" si="79"/>
        <v>0</v>
      </c>
      <c r="AP84" s="303">
        <f t="shared" si="80"/>
        <v>0</v>
      </c>
      <c r="AQ84" s="303">
        <f t="shared" si="81"/>
        <v>0</v>
      </c>
      <c r="AR84" s="303">
        <f t="shared" si="82"/>
        <v>0</v>
      </c>
      <c r="AS84" s="303">
        <f t="shared" si="83"/>
        <v>0</v>
      </c>
      <c r="AT84" s="302">
        <v>0</v>
      </c>
      <c r="AU84" s="302">
        <v>0</v>
      </c>
      <c r="AV84" s="302">
        <v>0</v>
      </c>
      <c r="AW84" s="302">
        <v>0</v>
      </c>
      <c r="AX84" s="302">
        <v>0</v>
      </c>
      <c r="AY84" s="302">
        <v>0</v>
      </c>
      <c r="AZ84" s="302">
        <v>0</v>
      </c>
      <c r="BA84" s="302">
        <v>0</v>
      </c>
      <c r="BB84" s="302">
        <v>0</v>
      </c>
      <c r="BC84" s="302">
        <v>0</v>
      </c>
      <c r="BD84" s="302">
        <v>0</v>
      </c>
      <c r="BE84" s="302">
        <v>0</v>
      </c>
      <c r="BF84" s="302">
        <v>0</v>
      </c>
      <c r="BG84" s="302">
        <v>0</v>
      </c>
      <c r="BH84" s="341">
        <v>0</v>
      </c>
      <c r="BI84" s="341">
        <v>0</v>
      </c>
      <c r="BJ84" s="341">
        <v>0</v>
      </c>
      <c r="BK84" s="341">
        <v>0</v>
      </c>
      <c r="BL84" s="341">
        <v>0</v>
      </c>
      <c r="BM84" s="341">
        <v>0</v>
      </c>
      <c r="BN84" s="341">
        <v>0</v>
      </c>
      <c r="BO84" s="302">
        <v>0</v>
      </c>
      <c r="BP84" s="250">
        <v>0</v>
      </c>
      <c r="BQ84" s="250">
        <v>0</v>
      </c>
      <c r="BR84" s="250">
        <v>0</v>
      </c>
      <c r="BS84" s="343">
        <v>0</v>
      </c>
      <c r="BT84" s="250">
        <v>0</v>
      </c>
      <c r="BU84" s="250">
        <v>0</v>
      </c>
      <c r="BV84" s="229"/>
      <c r="BX84" s="240"/>
      <c r="BY84" s="243"/>
    </row>
  </sheetData>
  <sheetProtection selectLockedCells="1" selectUnlockedCells="1"/>
  <mergeCells count="26">
    <mergeCell ref="BO19:BU19"/>
    <mergeCell ref="AM16:BU17"/>
    <mergeCell ref="BV16:BV20"/>
    <mergeCell ref="AM18:BU18"/>
    <mergeCell ref="BH19:BN19"/>
    <mergeCell ref="AM19:AS19"/>
    <mergeCell ref="AT19:AZ19"/>
    <mergeCell ref="BA19:BG19"/>
    <mergeCell ref="A10:W10"/>
    <mergeCell ref="A12:BV12"/>
    <mergeCell ref="A13:AL13"/>
    <mergeCell ref="A15:BV15"/>
    <mergeCell ref="A16:A20"/>
    <mergeCell ref="B16:B20"/>
    <mergeCell ref="C16:C20"/>
    <mergeCell ref="D16:AL17"/>
    <mergeCell ref="D18:AL18"/>
    <mergeCell ref="AF19:AL19"/>
    <mergeCell ref="D19:J19"/>
    <mergeCell ref="K19:Q19"/>
    <mergeCell ref="R19:X19"/>
    <mergeCell ref="Y19:AE19"/>
    <mergeCell ref="A4:BV4"/>
    <mergeCell ref="A6:BV6"/>
    <mergeCell ref="A7:BV7"/>
    <mergeCell ref="A9:BV9"/>
  </mergeCells>
  <dataValidations count="1">
    <dataValidation type="textLength" operator="lessThanOrEqual" allowBlank="1" showErrorMessage="1" errorTitle="Ошибка" error="Допускается ввод не более 900 символов!" sqref="B24 B35:B49 B51:B55 B57:B75 B77:B80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2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59"/>
  <sheetViews>
    <sheetView view="pageBreakPreview" zoomScale="77" zoomScaleNormal="85" zoomScaleSheetLayoutView="77" zoomScalePageLayoutView="0" workbookViewId="0" topLeftCell="B10">
      <selection activeCell="K30" sqref="K30"/>
    </sheetView>
  </sheetViews>
  <sheetFormatPr defaultColWidth="9.8515625" defaultRowHeight="12.75"/>
  <cols>
    <col min="1" max="1" width="10.00390625" style="1" customWidth="1"/>
    <col min="2" max="2" width="106.28125" style="2" customWidth="1"/>
    <col min="3" max="4" width="16.8515625" style="1" customWidth="1"/>
    <col min="5" max="5" width="8.421875" style="187" customWidth="1"/>
    <col min="6" max="7" width="6.140625" style="187" customWidth="1"/>
    <col min="8" max="9" width="7.28125" style="187" customWidth="1"/>
    <col min="10" max="14" width="6.140625" style="187" customWidth="1"/>
    <col min="15" max="16" width="7.28125" style="187" customWidth="1"/>
    <col min="17" max="21" width="6.140625" style="187" customWidth="1"/>
    <col min="22" max="23" width="7.28125" style="187" customWidth="1"/>
    <col min="24" max="28" width="6.140625" style="187" customWidth="1"/>
    <col min="29" max="30" width="7.28125" style="187" customWidth="1"/>
    <col min="31" max="35" width="6.140625" style="187" customWidth="1"/>
    <col min="36" max="37" width="7.28125" style="187" customWidth="1"/>
    <col min="38" max="42" width="6.140625" style="187" customWidth="1"/>
    <col min="43" max="44" width="7.28125" style="187" customWidth="1"/>
    <col min="45" max="49" width="6.140625" style="187" customWidth="1"/>
    <col min="50" max="51" width="7.28125" style="187" customWidth="1"/>
    <col min="52" max="53" width="6.140625" style="187" customWidth="1"/>
    <col min="54" max="54" width="7.8515625" style="187" customWidth="1"/>
    <col min="55" max="55" width="21.7109375" style="1" customWidth="1"/>
    <col min="56" max="56" width="6.8515625" style="7" customWidth="1"/>
    <col min="57" max="57" width="6.57421875" style="7" customWidth="1"/>
    <col min="58" max="58" width="7.140625" style="7" customWidth="1"/>
    <col min="59" max="59" width="7.57421875" style="7" customWidth="1"/>
    <col min="60" max="60" width="7.28125" style="7" customWidth="1"/>
    <col min="61" max="63" width="7.140625" style="7" customWidth="1"/>
    <col min="64" max="64" width="9.57421875" style="7" customWidth="1"/>
    <col min="65" max="65" width="6.140625" style="7" customWidth="1"/>
    <col min="66" max="67" width="7.28125" style="7" customWidth="1"/>
    <col min="68" max="69" width="6.140625" style="7" customWidth="1"/>
    <col min="70" max="70" width="18.28125" style="7" customWidth="1"/>
    <col min="71" max="16384" width="9.8515625" style="7" customWidth="1"/>
  </cols>
  <sheetData>
    <row r="1" spans="1:69" ht="18.75">
      <c r="A1" s="90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9" t="s">
        <v>251</v>
      </c>
      <c r="BD1" s="41"/>
      <c r="BE1" s="41"/>
      <c r="BF1" s="41"/>
      <c r="BG1" s="41"/>
      <c r="BH1" s="41"/>
      <c r="BI1" s="41"/>
      <c r="BJ1" s="41"/>
      <c r="BK1" s="41"/>
      <c r="BL1" s="41"/>
      <c r="BM1" s="41"/>
      <c r="BO1" s="41"/>
      <c r="BP1" s="41"/>
      <c r="BQ1" s="41"/>
    </row>
    <row r="2" spans="24:69" ht="18.75"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9" t="s">
        <v>2</v>
      </c>
      <c r="BD2" s="41"/>
      <c r="BE2" s="41"/>
      <c r="BF2" s="41"/>
      <c r="BG2" s="41"/>
      <c r="BH2" s="41"/>
      <c r="BI2" s="41"/>
      <c r="BJ2" s="41"/>
      <c r="BK2" s="41"/>
      <c r="BL2" s="41"/>
      <c r="BM2" s="41"/>
      <c r="BO2" s="41"/>
      <c r="BP2" s="41"/>
      <c r="BQ2" s="41"/>
    </row>
    <row r="3" spans="24:69" ht="18.75"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9" t="s">
        <v>3</v>
      </c>
      <c r="BD3" s="41"/>
      <c r="BE3" s="41"/>
      <c r="BF3" s="41"/>
      <c r="BG3" s="41"/>
      <c r="BH3" s="41"/>
      <c r="BI3" s="41"/>
      <c r="BJ3" s="41"/>
      <c r="BK3" s="41"/>
      <c r="BL3" s="41"/>
      <c r="BM3" s="41"/>
      <c r="BO3" s="41"/>
      <c r="BP3" s="41"/>
      <c r="BQ3" s="41"/>
    </row>
    <row r="4" spans="1:55" ht="18.75">
      <c r="A4" s="345" t="s">
        <v>212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</row>
    <row r="5" spans="4:55" ht="18.75"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10"/>
    </row>
    <row r="6" spans="1:55" ht="18.75" customHeight="1">
      <c r="A6" s="346" t="s">
        <v>256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</row>
    <row r="7" spans="1:55" ht="18.75" customHeight="1">
      <c r="A7" s="346" t="s">
        <v>4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</row>
    <row r="8" spans="1:55" ht="18.75">
      <c r="A8" s="12"/>
      <c r="B8" s="13"/>
      <c r="C8" s="12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0"/>
    </row>
    <row r="9" spans="1:55" ht="15.75">
      <c r="A9" s="344" t="s">
        <v>146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</row>
    <row r="10" spans="1:55" ht="15.7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0"/>
    </row>
    <row r="11" spans="1:55" ht="15.75">
      <c r="A11" s="16"/>
      <c r="B11" s="91"/>
      <c r="C11" s="16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10"/>
    </row>
    <row r="12" spans="1:55" ht="18.75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</row>
    <row r="13" spans="1:70" ht="15.75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</row>
    <row r="14" spans="1:70" ht="15.75">
      <c r="A14" s="23"/>
      <c r="B14" s="22"/>
      <c r="C14" s="23"/>
      <c r="D14" s="23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223"/>
      <c r="AG14" s="223"/>
      <c r="AH14" s="223"/>
      <c r="AI14" s="223"/>
      <c r="AJ14" s="223"/>
      <c r="AK14" s="223"/>
      <c r="AL14" s="223"/>
      <c r="AM14" s="223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23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</row>
    <row r="15" spans="1:70" ht="18.75">
      <c r="A15" s="363" t="s">
        <v>252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1:80" ht="15.75" customHeight="1">
      <c r="A16" s="364" t="s">
        <v>8</v>
      </c>
      <c r="B16" s="365" t="s">
        <v>226</v>
      </c>
      <c r="C16" s="365" t="s">
        <v>148</v>
      </c>
      <c r="D16" s="365" t="s">
        <v>253</v>
      </c>
      <c r="E16" s="371" t="s">
        <v>254</v>
      </c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65" t="s">
        <v>228</v>
      </c>
      <c r="BD16" s="201"/>
      <c r="BE16" s="201"/>
      <c r="BF16" s="201"/>
      <c r="BG16" s="201"/>
      <c r="BH16" s="252"/>
      <c r="BI16" s="252"/>
      <c r="BJ16" s="252"/>
      <c r="BK16" s="252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</row>
    <row r="17" spans="1:80" ht="15.75" customHeight="1">
      <c r="A17" s="364"/>
      <c r="B17" s="365"/>
      <c r="C17" s="365"/>
      <c r="D17" s="365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65"/>
      <c r="BD17" s="201"/>
      <c r="BE17" s="201"/>
      <c r="BF17" s="201"/>
      <c r="BG17" s="201"/>
      <c r="BH17" s="252"/>
      <c r="BI17" s="252"/>
      <c r="BJ17" s="252"/>
      <c r="BK17" s="252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</row>
    <row r="18" spans="1:80" ht="54.75" customHeight="1">
      <c r="A18" s="364"/>
      <c r="B18" s="365"/>
      <c r="C18" s="365"/>
      <c r="D18" s="365"/>
      <c r="E18" s="371" t="s">
        <v>30</v>
      </c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 t="s">
        <v>31</v>
      </c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65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</row>
    <row r="19" spans="1:80" ht="31.5" customHeight="1">
      <c r="A19" s="364"/>
      <c r="B19" s="365"/>
      <c r="C19" s="365"/>
      <c r="D19" s="365"/>
      <c r="E19" s="379" t="s">
        <v>20</v>
      </c>
      <c r="F19" s="379"/>
      <c r="G19" s="379"/>
      <c r="H19" s="379"/>
      <c r="I19" s="379"/>
      <c r="J19" s="379" t="s">
        <v>21</v>
      </c>
      <c r="K19" s="379"/>
      <c r="L19" s="379"/>
      <c r="M19" s="379"/>
      <c r="N19" s="379"/>
      <c r="O19" s="379" t="s">
        <v>22</v>
      </c>
      <c r="P19" s="379"/>
      <c r="Q19" s="379"/>
      <c r="R19" s="379"/>
      <c r="S19" s="379"/>
      <c r="T19" s="379" t="s">
        <v>230</v>
      </c>
      <c r="U19" s="379"/>
      <c r="V19" s="379"/>
      <c r="W19" s="379"/>
      <c r="X19" s="379"/>
      <c r="Y19" s="371" t="s">
        <v>24</v>
      </c>
      <c r="Z19" s="371"/>
      <c r="AA19" s="371"/>
      <c r="AB19" s="371"/>
      <c r="AC19" s="371"/>
      <c r="AD19" s="379" t="s">
        <v>20</v>
      </c>
      <c r="AE19" s="379"/>
      <c r="AF19" s="379"/>
      <c r="AG19" s="379"/>
      <c r="AH19" s="379"/>
      <c r="AI19" s="379" t="s">
        <v>21</v>
      </c>
      <c r="AJ19" s="379"/>
      <c r="AK19" s="379"/>
      <c r="AL19" s="379"/>
      <c r="AM19" s="379"/>
      <c r="AN19" s="379" t="s">
        <v>22</v>
      </c>
      <c r="AO19" s="379"/>
      <c r="AP19" s="379"/>
      <c r="AQ19" s="379"/>
      <c r="AR19" s="379"/>
      <c r="AS19" s="379" t="s">
        <v>230</v>
      </c>
      <c r="AT19" s="379"/>
      <c r="AU19" s="379"/>
      <c r="AV19" s="379"/>
      <c r="AW19" s="379"/>
      <c r="AX19" s="371" t="s">
        <v>24</v>
      </c>
      <c r="AY19" s="371"/>
      <c r="AZ19" s="371"/>
      <c r="BA19" s="371"/>
      <c r="BB19" s="371"/>
      <c r="BC19" s="365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</row>
    <row r="20" spans="1:80" ht="65.25" customHeight="1">
      <c r="A20" s="364"/>
      <c r="B20" s="365"/>
      <c r="C20" s="365"/>
      <c r="D20" s="365"/>
      <c r="E20" s="224" t="s">
        <v>234</v>
      </c>
      <c r="F20" s="224" t="s">
        <v>235</v>
      </c>
      <c r="G20" s="224" t="s">
        <v>236</v>
      </c>
      <c r="H20" s="224" t="s">
        <v>237</v>
      </c>
      <c r="I20" s="224" t="s">
        <v>238</v>
      </c>
      <c r="J20" s="224" t="s">
        <v>234</v>
      </c>
      <c r="K20" s="224" t="s">
        <v>235</v>
      </c>
      <c r="L20" s="224" t="s">
        <v>236</v>
      </c>
      <c r="M20" s="224" t="s">
        <v>237</v>
      </c>
      <c r="N20" s="224" t="s">
        <v>238</v>
      </c>
      <c r="O20" s="224" t="s">
        <v>234</v>
      </c>
      <c r="P20" s="224" t="s">
        <v>235</v>
      </c>
      <c r="Q20" s="224" t="s">
        <v>236</v>
      </c>
      <c r="R20" s="224" t="s">
        <v>237</v>
      </c>
      <c r="S20" s="224" t="s">
        <v>238</v>
      </c>
      <c r="T20" s="224" t="s">
        <v>234</v>
      </c>
      <c r="U20" s="224" t="s">
        <v>235</v>
      </c>
      <c r="V20" s="224" t="s">
        <v>236</v>
      </c>
      <c r="W20" s="224" t="s">
        <v>237</v>
      </c>
      <c r="X20" s="224" t="s">
        <v>238</v>
      </c>
      <c r="Y20" s="224" t="s">
        <v>234</v>
      </c>
      <c r="Z20" s="224" t="s">
        <v>235</v>
      </c>
      <c r="AA20" s="224" t="s">
        <v>236</v>
      </c>
      <c r="AB20" s="224" t="s">
        <v>237</v>
      </c>
      <c r="AC20" s="224" t="s">
        <v>238</v>
      </c>
      <c r="AD20" s="224" t="s">
        <v>234</v>
      </c>
      <c r="AE20" s="224" t="s">
        <v>235</v>
      </c>
      <c r="AF20" s="224" t="s">
        <v>236</v>
      </c>
      <c r="AG20" s="224" t="s">
        <v>237</v>
      </c>
      <c r="AH20" s="224" t="s">
        <v>238</v>
      </c>
      <c r="AI20" s="224" t="s">
        <v>234</v>
      </c>
      <c r="AJ20" s="224" t="s">
        <v>235</v>
      </c>
      <c r="AK20" s="224" t="s">
        <v>236</v>
      </c>
      <c r="AL20" s="224" t="s">
        <v>237</v>
      </c>
      <c r="AM20" s="224" t="s">
        <v>238</v>
      </c>
      <c r="AN20" s="224" t="s">
        <v>234</v>
      </c>
      <c r="AO20" s="224" t="s">
        <v>235</v>
      </c>
      <c r="AP20" s="224" t="s">
        <v>236</v>
      </c>
      <c r="AQ20" s="224" t="s">
        <v>237</v>
      </c>
      <c r="AR20" s="224" t="s">
        <v>238</v>
      </c>
      <c r="AS20" s="224" t="s">
        <v>234</v>
      </c>
      <c r="AT20" s="224" t="s">
        <v>235</v>
      </c>
      <c r="AU20" s="224" t="s">
        <v>236</v>
      </c>
      <c r="AV20" s="224" t="s">
        <v>237</v>
      </c>
      <c r="AW20" s="224" t="s">
        <v>238</v>
      </c>
      <c r="AX20" s="224" t="s">
        <v>234</v>
      </c>
      <c r="AY20" s="224" t="s">
        <v>235</v>
      </c>
      <c r="AZ20" s="224" t="s">
        <v>236</v>
      </c>
      <c r="BA20" s="224" t="s">
        <v>237</v>
      </c>
      <c r="BB20" s="224" t="s">
        <v>238</v>
      </c>
      <c r="BC20" s="365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</row>
    <row r="21" spans="1:80" ht="15.75">
      <c r="A21" s="207">
        <v>1</v>
      </c>
      <c r="B21" s="226">
        <v>2</v>
      </c>
      <c r="C21" s="207">
        <v>3</v>
      </c>
      <c r="D21" s="207">
        <v>4</v>
      </c>
      <c r="E21" s="227">
        <v>5</v>
      </c>
      <c r="F21" s="227">
        <v>6</v>
      </c>
      <c r="G21" s="227">
        <v>7</v>
      </c>
      <c r="H21" s="227">
        <v>8</v>
      </c>
      <c r="I21" s="227">
        <v>9</v>
      </c>
      <c r="J21" s="227">
        <v>10</v>
      </c>
      <c r="K21" s="227">
        <v>11</v>
      </c>
      <c r="L21" s="227">
        <v>12</v>
      </c>
      <c r="M21" s="227">
        <v>13</v>
      </c>
      <c r="N21" s="227">
        <v>14</v>
      </c>
      <c r="O21" s="227">
        <v>15</v>
      </c>
      <c r="P21" s="227">
        <v>16</v>
      </c>
      <c r="Q21" s="227">
        <v>17</v>
      </c>
      <c r="R21" s="227">
        <v>18</v>
      </c>
      <c r="S21" s="227">
        <v>19</v>
      </c>
      <c r="T21" s="227">
        <v>20</v>
      </c>
      <c r="U21" s="227">
        <v>21</v>
      </c>
      <c r="V21" s="227">
        <v>22</v>
      </c>
      <c r="W21" s="227">
        <v>23</v>
      </c>
      <c r="X21" s="227">
        <v>24</v>
      </c>
      <c r="Y21" s="227">
        <v>25</v>
      </c>
      <c r="Z21" s="227">
        <v>26</v>
      </c>
      <c r="AA21" s="227">
        <v>27</v>
      </c>
      <c r="AB21" s="227">
        <v>28</v>
      </c>
      <c r="AC21" s="227">
        <v>29</v>
      </c>
      <c r="AD21" s="227">
        <v>30</v>
      </c>
      <c r="AE21" s="227">
        <v>31</v>
      </c>
      <c r="AF21" s="227">
        <v>32</v>
      </c>
      <c r="AG21" s="227">
        <v>33</v>
      </c>
      <c r="AH21" s="227">
        <v>34</v>
      </c>
      <c r="AI21" s="227">
        <v>35</v>
      </c>
      <c r="AJ21" s="227">
        <v>36</v>
      </c>
      <c r="AK21" s="227">
        <v>37</v>
      </c>
      <c r="AL21" s="227">
        <v>38</v>
      </c>
      <c r="AM21" s="227">
        <v>39</v>
      </c>
      <c r="AN21" s="227">
        <v>40</v>
      </c>
      <c r="AO21" s="227">
        <v>41</v>
      </c>
      <c r="AP21" s="227">
        <v>42</v>
      </c>
      <c r="AQ21" s="227">
        <v>43</v>
      </c>
      <c r="AR21" s="227">
        <v>44</v>
      </c>
      <c r="AS21" s="227">
        <v>45</v>
      </c>
      <c r="AT21" s="227">
        <v>46</v>
      </c>
      <c r="AU21" s="227">
        <v>47</v>
      </c>
      <c r="AV21" s="227">
        <v>48</v>
      </c>
      <c r="AW21" s="227">
        <v>49</v>
      </c>
      <c r="AX21" s="227">
        <v>50</v>
      </c>
      <c r="AY21" s="227">
        <v>51</v>
      </c>
      <c r="AZ21" s="227">
        <v>52</v>
      </c>
      <c r="BA21" s="227">
        <v>53</v>
      </c>
      <c r="BB21" s="227">
        <v>54</v>
      </c>
      <c r="BC21" s="253">
        <v>55</v>
      </c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</row>
    <row r="22" spans="1:55" s="155" customFormat="1" ht="18.75">
      <c r="A22" s="32"/>
      <c r="B22" s="160" t="s">
        <v>32</v>
      </c>
      <c r="C22" s="161"/>
      <c r="D22" s="254">
        <f>D23+D30+D64</f>
        <v>0</v>
      </c>
      <c r="E22" s="254">
        <f aca="true" t="shared" si="0" ref="E22:AJ22">E26+E42+E51+E29+E47</f>
        <v>0</v>
      </c>
      <c r="F22" s="254">
        <f t="shared" si="0"/>
        <v>0</v>
      </c>
      <c r="G22" s="254">
        <f t="shared" si="0"/>
        <v>0</v>
      </c>
      <c r="H22" s="254">
        <f t="shared" si="0"/>
        <v>0</v>
      </c>
      <c r="I22" s="254">
        <f t="shared" si="0"/>
        <v>0</v>
      </c>
      <c r="J22" s="254">
        <f t="shared" si="0"/>
        <v>0</v>
      </c>
      <c r="K22" s="254">
        <f t="shared" si="0"/>
        <v>0</v>
      </c>
      <c r="L22" s="254">
        <f t="shared" si="0"/>
        <v>0</v>
      </c>
      <c r="M22" s="254">
        <f t="shared" si="0"/>
        <v>0</v>
      </c>
      <c r="N22" s="254">
        <f t="shared" si="0"/>
        <v>0</v>
      </c>
      <c r="O22" s="254">
        <f t="shared" si="0"/>
        <v>0</v>
      </c>
      <c r="P22" s="254">
        <f t="shared" si="0"/>
        <v>0</v>
      </c>
      <c r="Q22" s="254">
        <f t="shared" si="0"/>
        <v>0</v>
      </c>
      <c r="R22" s="254">
        <f t="shared" si="0"/>
        <v>0</v>
      </c>
      <c r="S22" s="254">
        <f t="shared" si="0"/>
        <v>0</v>
      </c>
      <c r="T22" s="254">
        <f t="shared" si="0"/>
        <v>0</v>
      </c>
      <c r="U22" s="254">
        <f t="shared" si="0"/>
        <v>0</v>
      </c>
      <c r="V22" s="254">
        <f t="shared" si="0"/>
        <v>0</v>
      </c>
      <c r="W22" s="254">
        <f t="shared" si="0"/>
        <v>0</v>
      </c>
      <c r="X22" s="254">
        <f t="shared" si="0"/>
        <v>0</v>
      </c>
      <c r="Y22" s="254">
        <f t="shared" si="0"/>
        <v>0</v>
      </c>
      <c r="Z22" s="254">
        <f t="shared" si="0"/>
        <v>0</v>
      </c>
      <c r="AA22" s="254">
        <f t="shared" si="0"/>
        <v>0</v>
      </c>
      <c r="AB22" s="254">
        <f t="shared" si="0"/>
        <v>0</v>
      </c>
      <c r="AC22" s="254">
        <f t="shared" si="0"/>
        <v>0</v>
      </c>
      <c r="AD22" s="254">
        <f t="shared" si="0"/>
        <v>0</v>
      </c>
      <c r="AE22" s="254">
        <f t="shared" si="0"/>
        <v>0</v>
      </c>
      <c r="AF22" s="254">
        <f t="shared" si="0"/>
        <v>0.58</v>
      </c>
      <c r="AG22" s="254">
        <f t="shared" si="0"/>
        <v>0</v>
      </c>
      <c r="AH22" s="254">
        <f t="shared" si="0"/>
        <v>0</v>
      </c>
      <c r="AI22" s="254">
        <f t="shared" si="0"/>
        <v>0</v>
      </c>
      <c r="AJ22" s="254">
        <f t="shared" si="0"/>
        <v>0</v>
      </c>
      <c r="AK22" s="254">
        <f aca="true" t="shared" si="1" ref="AK22:BB22">AK26+AK42+AK51+AK29+AK47</f>
        <v>0</v>
      </c>
      <c r="AL22" s="254">
        <f t="shared" si="1"/>
        <v>0</v>
      </c>
      <c r="AM22" s="254">
        <f t="shared" si="1"/>
        <v>0</v>
      </c>
      <c r="AN22" s="254">
        <f t="shared" si="1"/>
        <v>0</v>
      </c>
      <c r="AO22" s="254">
        <f t="shared" si="1"/>
        <v>0</v>
      </c>
      <c r="AP22" s="254">
        <f t="shared" si="1"/>
        <v>0</v>
      </c>
      <c r="AQ22" s="254">
        <f t="shared" si="1"/>
        <v>0</v>
      </c>
      <c r="AR22" s="254">
        <f t="shared" si="1"/>
        <v>0</v>
      </c>
      <c r="AS22" s="254">
        <f t="shared" si="1"/>
        <v>0</v>
      </c>
      <c r="AT22" s="254">
        <f t="shared" si="1"/>
        <v>0</v>
      </c>
      <c r="AU22" s="254">
        <f t="shared" si="1"/>
        <v>0.58</v>
      </c>
      <c r="AV22" s="254">
        <f t="shared" si="1"/>
        <v>0</v>
      </c>
      <c r="AW22" s="254">
        <f t="shared" si="1"/>
        <v>0</v>
      </c>
      <c r="AX22" s="254">
        <f t="shared" si="1"/>
        <v>0</v>
      </c>
      <c r="AY22" s="254">
        <f t="shared" si="1"/>
        <v>0</v>
      </c>
      <c r="AZ22" s="254">
        <f t="shared" si="1"/>
        <v>0</v>
      </c>
      <c r="BA22" s="254">
        <f t="shared" si="1"/>
        <v>0</v>
      </c>
      <c r="BB22" s="255">
        <f t="shared" si="1"/>
        <v>0</v>
      </c>
      <c r="BC22" s="256"/>
    </row>
    <row r="23" spans="1:55" ht="18.75" hidden="1">
      <c r="A23" s="135" t="s">
        <v>34</v>
      </c>
      <c r="B23" s="163" t="s">
        <v>35</v>
      </c>
      <c r="C23" s="161"/>
      <c r="D23" s="229"/>
      <c r="E23" s="254">
        <f>E27+E44+E52</f>
        <v>0</v>
      </c>
      <c r="F23" s="138">
        <f aca="true" t="shared" si="2" ref="F23:U23">SUM(F24:F24)</f>
        <v>0</v>
      </c>
      <c r="G23" s="138">
        <f t="shared" si="2"/>
        <v>0</v>
      </c>
      <c r="H23" s="138">
        <f t="shared" si="2"/>
        <v>0</v>
      </c>
      <c r="I23" s="138">
        <f t="shared" si="2"/>
        <v>0</v>
      </c>
      <c r="J23" s="138">
        <f t="shared" si="2"/>
        <v>0</v>
      </c>
      <c r="K23" s="138">
        <f t="shared" si="2"/>
        <v>0</v>
      </c>
      <c r="L23" s="138">
        <f t="shared" si="2"/>
        <v>0</v>
      </c>
      <c r="M23" s="138">
        <f t="shared" si="2"/>
        <v>0</v>
      </c>
      <c r="N23" s="138">
        <f t="shared" si="2"/>
        <v>0</v>
      </c>
      <c r="O23" s="171">
        <f t="shared" si="2"/>
        <v>0</v>
      </c>
      <c r="P23" s="171">
        <f t="shared" si="2"/>
        <v>0</v>
      </c>
      <c r="Q23" s="171">
        <f t="shared" si="2"/>
        <v>0</v>
      </c>
      <c r="R23" s="171">
        <f t="shared" si="2"/>
        <v>0</v>
      </c>
      <c r="S23" s="171">
        <f t="shared" si="2"/>
        <v>0</v>
      </c>
      <c r="T23" s="138">
        <f t="shared" si="2"/>
        <v>0</v>
      </c>
      <c r="U23" s="138">
        <f t="shared" si="2"/>
        <v>0</v>
      </c>
      <c r="V23" s="138">
        <f aca="true" t="shared" si="3" ref="V23:BB23">SUM(V24:V27)</f>
        <v>0</v>
      </c>
      <c r="W23" s="138">
        <f t="shared" si="3"/>
        <v>0</v>
      </c>
      <c r="X23" s="138">
        <f t="shared" si="3"/>
        <v>0</v>
      </c>
      <c r="Y23" s="138">
        <f t="shared" si="3"/>
        <v>0</v>
      </c>
      <c r="Z23" s="138">
        <f t="shared" si="3"/>
        <v>0</v>
      </c>
      <c r="AA23" s="138">
        <f t="shared" si="3"/>
        <v>0</v>
      </c>
      <c r="AB23" s="138">
        <f t="shared" si="3"/>
        <v>0</v>
      </c>
      <c r="AC23" s="138">
        <f t="shared" si="3"/>
        <v>0</v>
      </c>
      <c r="AD23" s="138">
        <f t="shared" si="3"/>
        <v>0</v>
      </c>
      <c r="AE23" s="138">
        <f t="shared" si="3"/>
        <v>0</v>
      </c>
      <c r="AF23" s="138">
        <f t="shared" si="3"/>
        <v>0</v>
      </c>
      <c r="AG23" s="138">
        <f t="shared" si="3"/>
        <v>0</v>
      </c>
      <c r="AH23" s="138">
        <f t="shared" si="3"/>
        <v>0</v>
      </c>
      <c r="AI23" s="138">
        <f t="shared" si="3"/>
        <v>0</v>
      </c>
      <c r="AJ23" s="138">
        <f t="shared" si="3"/>
        <v>0</v>
      </c>
      <c r="AK23" s="138">
        <f t="shared" si="3"/>
        <v>0</v>
      </c>
      <c r="AL23" s="138">
        <f t="shared" si="3"/>
        <v>0</v>
      </c>
      <c r="AM23" s="138">
        <f t="shared" si="3"/>
        <v>0</v>
      </c>
      <c r="AN23" s="138">
        <f t="shared" si="3"/>
        <v>0</v>
      </c>
      <c r="AO23" s="138">
        <f t="shared" si="3"/>
        <v>0</v>
      </c>
      <c r="AP23" s="138">
        <f t="shared" si="3"/>
        <v>0</v>
      </c>
      <c r="AQ23" s="138">
        <f t="shared" si="3"/>
        <v>0</v>
      </c>
      <c r="AR23" s="138">
        <f t="shared" si="3"/>
        <v>0</v>
      </c>
      <c r="AS23" s="138">
        <f t="shared" si="3"/>
        <v>0</v>
      </c>
      <c r="AT23" s="138">
        <f t="shared" si="3"/>
        <v>0</v>
      </c>
      <c r="AU23" s="138">
        <f t="shared" si="3"/>
        <v>0</v>
      </c>
      <c r="AV23" s="138">
        <f t="shared" si="3"/>
        <v>0</v>
      </c>
      <c r="AW23" s="138">
        <f t="shared" si="3"/>
        <v>0</v>
      </c>
      <c r="AX23" s="138">
        <f t="shared" si="3"/>
        <v>0</v>
      </c>
      <c r="AY23" s="138">
        <f t="shared" si="3"/>
        <v>0</v>
      </c>
      <c r="AZ23" s="138">
        <f t="shared" si="3"/>
        <v>0</v>
      </c>
      <c r="BA23" s="138">
        <f t="shared" si="3"/>
        <v>0</v>
      </c>
      <c r="BB23" s="138">
        <f t="shared" si="3"/>
        <v>0</v>
      </c>
      <c r="BC23" s="257"/>
    </row>
    <row r="24" spans="1:55" ht="37.5" customHeight="1" hidden="1">
      <c r="A24" s="45" t="s">
        <v>155</v>
      </c>
      <c r="B24" s="166" t="s">
        <v>195</v>
      </c>
      <c r="C24" s="161"/>
      <c r="D24" s="229"/>
      <c r="E24" s="254">
        <f>E28+E45+E53</f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41">
        <v>0</v>
      </c>
      <c r="Y24" s="241">
        <v>0</v>
      </c>
      <c r="Z24" s="241">
        <v>0</v>
      </c>
      <c r="AA24" s="241">
        <v>0</v>
      </c>
      <c r="AB24" s="241">
        <v>0</v>
      </c>
      <c r="AC24" s="241">
        <v>0</v>
      </c>
      <c r="AD24" s="241">
        <v>0</v>
      </c>
      <c r="AE24" s="241">
        <v>0</v>
      </c>
      <c r="AF24" s="241">
        <v>0</v>
      </c>
      <c r="AG24" s="241">
        <v>0</v>
      </c>
      <c r="AH24" s="241">
        <v>0</v>
      </c>
      <c r="AI24" s="241">
        <v>0</v>
      </c>
      <c r="AJ24" s="241">
        <v>0</v>
      </c>
      <c r="AK24" s="241">
        <v>0</v>
      </c>
      <c r="AL24" s="241">
        <v>0</v>
      </c>
      <c r="AM24" s="241">
        <v>0</v>
      </c>
      <c r="AN24" s="241">
        <v>0</v>
      </c>
      <c r="AO24" s="241">
        <v>0</v>
      </c>
      <c r="AP24" s="241">
        <v>0</v>
      </c>
      <c r="AQ24" s="241">
        <v>0</v>
      </c>
      <c r="AR24" s="241">
        <v>0</v>
      </c>
      <c r="AS24" s="241">
        <v>0</v>
      </c>
      <c r="AT24" s="241">
        <v>0</v>
      </c>
      <c r="AU24" s="241">
        <v>0</v>
      </c>
      <c r="AV24" s="241">
        <v>0</v>
      </c>
      <c r="AW24" s="241">
        <v>0</v>
      </c>
      <c r="AX24" s="241">
        <v>0</v>
      </c>
      <c r="AY24" s="241">
        <v>0</v>
      </c>
      <c r="AZ24" s="241">
        <v>0</v>
      </c>
      <c r="BA24" s="241">
        <v>0</v>
      </c>
      <c r="BB24" s="241">
        <v>0</v>
      </c>
      <c r="BC24" s="229"/>
    </row>
    <row r="25" spans="1:55" ht="18.75" hidden="1">
      <c r="A25" s="49" t="s">
        <v>53</v>
      </c>
      <c r="B25" s="163" t="s">
        <v>54</v>
      </c>
      <c r="C25" s="161"/>
      <c r="D25" s="229"/>
      <c r="E25" s="254">
        <f>E29+E46+E54</f>
        <v>0</v>
      </c>
      <c r="F25" s="241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41">
        <v>0</v>
      </c>
      <c r="Y25" s="241">
        <v>0</v>
      </c>
      <c r="Z25" s="241">
        <v>0</v>
      </c>
      <c r="AA25" s="241">
        <v>0</v>
      </c>
      <c r="AB25" s="241">
        <v>0</v>
      </c>
      <c r="AC25" s="241">
        <v>0</v>
      </c>
      <c r="AD25" s="241">
        <v>0</v>
      </c>
      <c r="AE25" s="241">
        <v>0</v>
      </c>
      <c r="AF25" s="241">
        <v>0</v>
      </c>
      <c r="AG25" s="241">
        <v>0</v>
      </c>
      <c r="AH25" s="241">
        <v>0</v>
      </c>
      <c r="AI25" s="241">
        <v>0</v>
      </c>
      <c r="AJ25" s="241">
        <v>0</v>
      </c>
      <c r="AK25" s="241">
        <v>0</v>
      </c>
      <c r="AL25" s="241">
        <v>0</v>
      </c>
      <c r="AM25" s="241">
        <v>0</v>
      </c>
      <c r="AN25" s="241">
        <v>0</v>
      </c>
      <c r="AO25" s="241">
        <v>0</v>
      </c>
      <c r="AP25" s="241">
        <v>0</v>
      </c>
      <c r="AQ25" s="241">
        <v>0</v>
      </c>
      <c r="AR25" s="241">
        <v>0</v>
      </c>
      <c r="AS25" s="241">
        <v>0</v>
      </c>
      <c r="AT25" s="241">
        <v>0</v>
      </c>
      <c r="AU25" s="241">
        <v>0</v>
      </c>
      <c r="AV25" s="241">
        <v>0</v>
      </c>
      <c r="AW25" s="241">
        <v>0</v>
      </c>
      <c r="AX25" s="241">
        <v>0</v>
      </c>
      <c r="AY25" s="241">
        <v>0</v>
      </c>
      <c r="AZ25" s="241">
        <v>0</v>
      </c>
      <c r="BA25" s="241">
        <v>0</v>
      </c>
      <c r="BB25" s="241">
        <v>0</v>
      </c>
      <c r="BC25" s="229"/>
    </row>
    <row r="26" spans="1:55" ht="18.75">
      <c r="A26" s="137" t="s">
        <v>164</v>
      </c>
      <c r="B26" s="163" t="s">
        <v>56</v>
      </c>
      <c r="C26" s="161"/>
      <c r="D26" s="229"/>
      <c r="E26" s="254">
        <f>E28</f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41">
        <v>0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41">
        <v>0</v>
      </c>
      <c r="Y26" s="241">
        <v>0</v>
      </c>
      <c r="Z26" s="241">
        <v>0</v>
      </c>
      <c r="AA26" s="241">
        <v>0</v>
      </c>
      <c r="AB26" s="241">
        <v>0</v>
      </c>
      <c r="AC26" s="241">
        <v>0</v>
      </c>
      <c r="AD26" s="241">
        <v>0</v>
      </c>
      <c r="AE26" s="241">
        <v>0</v>
      </c>
      <c r="AF26" s="241">
        <v>0</v>
      </c>
      <c r="AG26" s="241">
        <v>0</v>
      </c>
      <c r="AH26" s="241">
        <v>0</v>
      </c>
      <c r="AI26" s="241">
        <v>0</v>
      </c>
      <c r="AJ26" s="241">
        <v>0</v>
      </c>
      <c r="AK26" s="241">
        <v>0</v>
      </c>
      <c r="AL26" s="241">
        <v>0</v>
      </c>
      <c r="AM26" s="241">
        <v>0</v>
      </c>
      <c r="AN26" s="241">
        <v>0</v>
      </c>
      <c r="AO26" s="241">
        <v>0</v>
      </c>
      <c r="AP26" s="241">
        <v>0</v>
      </c>
      <c r="AQ26" s="241">
        <v>0</v>
      </c>
      <c r="AR26" s="241">
        <v>0</v>
      </c>
      <c r="AS26" s="241">
        <v>0</v>
      </c>
      <c r="AT26" s="241">
        <v>0</v>
      </c>
      <c r="AU26" s="241">
        <v>0</v>
      </c>
      <c r="AV26" s="241">
        <v>0</v>
      </c>
      <c r="AW26" s="241">
        <v>0</v>
      </c>
      <c r="AX26" s="241">
        <v>0</v>
      </c>
      <c r="AY26" s="241">
        <v>0</v>
      </c>
      <c r="AZ26" s="241">
        <v>0</v>
      </c>
      <c r="BA26" s="241">
        <v>0</v>
      </c>
      <c r="BB26" s="241">
        <v>0</v>
      </c>
      <c r="BC26" s="229"/>
    </row>
    <row r="27" spans="1:55" ht="37.5" hidden="1">
      <c r="A27" s="45" t="s">
        <v>57</v>
      </c>
      <c r="B27" s="258" t="s">
        <v>61</v>
      </c>
      <c r="C27" s="161"/>
      <c r="D27" s="229"/>
      <c r="E27" s="254">
        <f>E31</f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0</v>
      </c>
      <c r="N27" s="241">
        <v>0</v>
      </c>
      <c r="O27" s="241">
        <v>0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41">
        <v>0</v>
      </c>
      <c r="Y27" s="241">
        <v>0</v>
      </c>
      <c r="Z27" s="241">
        <v>0</v>
      </c>
      <c r="AA27" s="241">
        <v>0</v>
      </c>
      <c r="AB27" s="241">
        <v>0</v>
      </c>
      <c r="AC27" s="241">
        <v>0</v>
      </c>
      <c r="AD27" s="241">
        <v>0</v>
      </c>
      <c r="AE27" s="241">
        <v>0</v>
      </c>
      <c r="AF27" s="241">
        <v>0</v>
      </c>
      <c r="AG27" s="241">
        <v>0</v>
      </c>
      <c r="AH27" s="241">
        <v>0</v>
      </c>
      <c r="AI27" s="241">
        <v>0</v>
      </c>
      <c r="AJ27" s="241">
        <v>0</v>
      </c>
      <c r="AK27" s="241">
        <v>0</v>
      </c>
      <c r="AL27" s="241">
        <v>0</v>
      </c>
      <c r="AM27" s="241">
        <v>0</v>
      </c>
      <c r="AN27" s="241">
        <v>0</v>
      </c>
      <c r="AO27" s="241">
        <v>0</v>
      </c>
      <c r="AP27" s="241">
        <v>0</v>
      </c>
      <c r="AQ27" s="241">
        <v>0</v>
      </c>
      <c r="AR27" s="241">
        <v>0</v>
      </c>
      <c r="AS27" s="241">
        <v>0</v>
      </c>
      <c r="AT27" s="241">
        <v>0</v>
      </c>
      <c r="AU27" s="241">
        <v>0</v>
      </c>
      <c r="AV27" s="241">
        <v>0</v>
      </c>
      <c r="AW27" s="241">
        <v>0</v>
      </c>
      <c r="AX27" s="241">
        <v>0</v>
      </c>
      <c r="AY27" s="241">
        <v>0</v>
      </c>
      <c r="AZ27" s="241">
        <v>0</v>
      </c>
      <c r="BA27" s="241">
        <v>0</v>
      </c>
      <c r="BB27" s="241">
        <v>0</v>
      </c>
      <c r="BC27" s="229"/>
    </row>
    <row r="28" spans="1:55" ht="18.75">
      <c r="A28" s="137" t="s">
        <v>60</v>
      </c>
      <c r="B28" s="166" t="s">
        <v>58</v>
      </c>
      <c r="C28" s="161"/>
      <c r="D28" s="229"/>
      <c r="E28" s="138">
        <f>J28+O28+T28+Y28</f>
        <v>0</v>
      </c>
      <c r="F28" s="138">
        <f>K28+P28+U28+Z28</f>
        <v>0</v>
      </c>
      <c r="G28" s="138">
        <f>L28+Q28+V28+AA28</f>
        <v>0</v>
      </c>
      <c r="H28" s="138">
        <f>M28+R28+W28+AB28</f>
        <v>0</v>
      </c>
      <c r="I28" s="138">
        <f>N28+S28+X28+AC28</f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41">
        <v>0</v>
      </c>
      <c r="Y28" s="241">
        <v>0</v>
      </c>
      <c r="Z28" s="241">
        <v>0</v>
      </c>
      <c r="AA28" s="241">
        <v>0</v>
      </c>
      <c r="AB28" s="241">
        <v>0</v>
      </c>
      <c r="AC28" s="241">
        <v>0</v>
      </c>
      <c r="AD28" s="138">
        <f>AI28+AN28+AS28+AX28</f>
        <v>0</v>
      </c>
      <c r="AE28" s="138">
        <f>AJ28+AO28+AT28+AY28</f>
        <v>0</v>
      </c>
      <c r="AF28" s="138">
        <f>AK28+AP28+AU28+AZ28</f>
        <v>0</v>
      </c>
      <c r="AG28" s="138">
        <f>AL28+AQ28+AV28+BA28</f>
        <v>0</v>
      </c>
      <c r="AH28" s="138">
        <f>AM28+AR28+AW28+BB28</f>
        <v>0</v>
      </c>
      <c r="AI28" s="241">
        <v>0</v>
      </c>
      <c r="AJ28" s="241">
        <v>0</v>
      </c>
      <c r="AK28" s="241">
        <v>0</v>
      </c>
      <c r="AL28" s="241">
        <v>0</v>
      </c>
      <c r="AM28" s="241">
        <v>0</v>
      </c>
      <c r="AN28" s="241">
        <v>0</v>
      </c>
      <c r="AO28" s="241">
        <v>0</v>
      </c>
      <c r="AP28" s="241">
        <v>0</v>
      </c>
      <c r="AQ28" s="241">
        <v>0</v>
      </c>
      <c r="AR28" s="241">
        <v>0</v>
      </c>
      <c r="AS28" s="241">
        <v>0</v>
      </c>
      <c r="AT28" s="241">
        <v>0</v>
      </c>
      <c r="AU28" s="241">
        <v>0</v>
      </c>
      <c r="AV28" s="241">
        <v>0</v>
      </c>
      <c r="AW28" s="241">
        <v>0</v>
      </c>
      <c r="AX28" s="241">
        <v>0</v>
      </c>
      <c r="AY28" s="241">
        <v>0</v>
      </c>
      <c r="AZ28" s="241">
        <v>0</v>
      </c>
      <c r="BA28" s="241">
        <v>0</v>
      </c>
      <c r="BB28" s="241">
        <v>0</v>
      </c>
      <c r="BC28" s="229"/>
    </row>
    <row r="29" spans="1:55" ht="56.25" customHeight="1">
      <c r="A29" s="49" t="s">
        <v>62</v>
      </c>
      <c r="B29" s="160" t="s">
        <v>223</v>
      </c>
      <c r="C29" s="161"/>
      <c r="D29" s="229"/>
      <c r="E29" s="241">
        <f aca="true" t="shared" si="4" ref="E29:AJ29">E30</f>
        <v>0</v>
      </c>
      <c r="F29" s="241">
        <f t="shared" si="4"/>
        <v>0</v>
      </c>
      <c r="G29" s="241">
        <f t="shared" si="4"/>
        <v>0</v>
      </c>
      <c r="H29" s="241">
        <f t="shared" si="4"/>
        <v>0</v>
      </c>
      <c r="I29" s="241">
        <f t="shared" si="4"/>
        <v>0</v>
      </c>
      <c r="J29" s="241">
        <f t="shared" si="4"/>
        <v>0</v>
      </c>
      <c r="K29" s="241">
        <f t="shared" si="4"/>
        <v>0</v>
      </c>
      <c r="L29" s="241">
        <f t="shared" si="4"/>
        <v>0</v>
      </c>
      <c r="M29" s="241">
        <f t="shared" si="4"/>
        <v>0</v>
      </c>
      <c r="N29" s="241">
        <f t="shared" si="4"/>
        <v>0</v>
      </c>
      <c r="O29" s="241">
        <f t="shared" si="4"/>
        <v>0</v>
      </c>
      <c r="P29" s="241">
        <f t="shared" si="4"/>
        <v>0</v>
      </c>
      <c r="Q29" s="241">
        <f t="shared" si="4"/>
        <v>0</v>
      </c>
      <c r="R29" s="241">
        <f t="shared" si="4"/>
        <v>0</v>
      </c>
      <c r="S29" s="241">
        <f t="shared" si="4"/>
        <v>0</v>
      </c>
      <c r="T29" s="241">
        <f t="shared" si="4"/>
        <v>0</v>
      </c>
      <c r="U29" s="241">
        <f t="shared" si="4"/>
        <v>0</v>
      </c>
      <c r="V29" s="241">
        <f t="shared" si="4"/>
        <v>0</v>
      </c>
      <c r="W29" s="241">
        <f t="shared" si="4"/>
        <v>0</v>
      </c>
      <c r="X29" s="241">
        <f t="shared" si="4"/>
        <v>0</v>
      </c>
      <c r="Y29" s="241">
        <f t="shared" si="4"/>
        <v>0</v>
      </c>
      <c r="Z29" s="241">
        <f t="shared" si="4"/>
        <v>0</v>
      </c>
      <c r="AA29" s="241">
        <f t="shared" si="4"/>
        <v>0</v>
      </c>
      <c r="AB29" s="241">
        <f t="shared" si="4"/>
        <v>0</v>
      </c>
      <c r="AC29" s="241">
        <f t="shared" si="4"/>
        <v>0</v>
      </c>
      <c r="AD29" s="241">
        <f t="shared" si="4"/>
        <v>0</v>
      </c>
      <c r="AE29" s="241">
        <f t="shared" si="4"/>
        <v>0</v>
      </c>
      <c r="AF29" s="241">
        <f t="shared" si="4"/>
        <v>0.58</v>
      </c>
      <c r="AG29" s="241">
        <f t="shared" si="4"/>
        <v>0</v>
      </c>
      <c r="AH29" s="241">
        <f t="shared" si="4"/>
        <v>0</v>
      </c>
      <c r="AI29" s="241">
        <f t="shared" si="4"/>
        <v>0</v>
      </c>
      <c r="AJ29" s="241">
        <f t="shared" si="4"/>
        <v>0</v>
      </c>
      <c r="AK29" s="241">
        <f aca="true" t="shared" si="5" ref="AK29:BB29">AK30</f>
        <v>0</v>
      </c>
      <c r="AL29" s="241">
        <f t="shared" si="5"/>
        <v>0</v>
      </c>
      <c r="AM29" s="241">
        <f t="shared" si="5"/>
        <v>0</v>
      </c>
      <c r="AN29" s="241">
        <f t="shared" si="5"/>
        <v>0</v>
      </c>
      <c r="AO29" s="241">
        <f t="shared" si="5"/>
        <v>0</v>
      </c>
      <c r="AP29" s="241">
        <f t="shared" si="5"/>
        <v>0</v>
      </c>
      <c r="AQ29" s="241">
        <f t="shared" si="5"/>
        <v>0</v>
      </c>
      <c r="AR29" s="241">
        <f t="shared" si="5"/>
        <v>0</v>
      </c>
      <c r="AS29" s="241">
        <f t="shared" si="5"/>
        <v>0</v>
      </c>
      <c r="AT29" s="241">
        <f t="shared" si="5"/>
        <v>0</v>
      </c>
      <c r="AU29" s="241">
        <f t="shared" si="5"/>
        <v>0.58</v>
      </c>
      <c r="AV29" s="241">
        <f t="shared" si="5"/>
        <v>0</v>
      </c>
      <c r="AW29" s="241">
        <f t="shared" si="5"/>
        <v>0</v>
      </c>
      <c r="AX29" s="241">
        <f t="shared" si="5"/>
        <v>0</v>
      </c>
      <c r="AY29" s="241">
        <f t="shared" si="5"/>
        <v>0</v>
      </c>
      <c r="AZ29" s="241">
        <f t="shared" si="5"/>
        <v>0</v>
      </c>
      <c r="BA29" s="241">
        <f t="shared" si="5"/>
        <v>0</v>
      </c>
      <c r="BB29" s="241">
        <f t="shared" si="5"/>
        <v>0</v>
      </c>
      <c r="BC29" s="229"/>
    </row>
    <row r="30" spans="1:55" ht="33.75" customHeight="1">
      <c r="A30" s="49" t="s">
        <v>197</v>
      </c>
      <c r="B30" s="172" t="s">
        <v>255</v>
      </c>
      <c r="C30" s="161"/>
      <c r="D30" s="229"/>
      <c r="E30" s="138">
        <f>J30+O30+T30+Y30</f>
        <v>0</v>
      </c>
      <c r="F30" s="138">
        <f>K30+P30+U30+Z30</f>
        <v>0</v>
      </c>
      <c r="G30" s="138">
        <f>L30+Q30+V30+AA30</f>
        <v>0</v>
      </c>
      <c r="H30" s="138">
        <f>M30+R30+W30+AB30</f>
        <v>0</v>
      </c>
      <c r="I30" s="138">
        <f>N30+S30+X30+AC30</f>
        <v>0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41">
        <v>0</v>
      </c>
      <c r="Y30" s="241">
        <v>0</v>
      </c>
      <c r="Z30" s="241">
        <v>0</v>
      </c>
      <c r="AA30" s="241">
        <v>0</v>
      </c>
      <c r="AB30" s="241">
        <v>0</v>
      </c>
      <c r="AC30" s="241">
        <v>0</v>
      </c>
      <c r="AD30" s="138">
        <f>AI30+AN30+AS30+AX30</f>
        <v>0</v>
      </c>
      <c r="AE30" s="138">
        <f>AJ30+AO30+AT30+AY30</f>
        <v>0</v>
      </c>
      <c r="AF30" s="138">
        <f>AK30+AP30+AU30+AZ30</f>
        <v>0.58</v>
      </c>
      <c r="AG30" s="138">
        <f>AL30+AQ30+AV30+BA30</f>
        <v>0</v>
      </c>
      <c r="AH30" s="138">
        <f>AM30+AR30+AW30+BB30</f>
        <v>0</v>
      </c>
      <c r="AI30" s="241">
        <v>0</v>
      </c>
      <c r="AJ30" s="241">
        <v>0</v>
      </c>
      <c r="AK30" s="241">
        <v>0</v>
      </c>
      <c r="AL30" s="241">
        <v>0</v>
      </c>
      <c r="AM30" s="241">
        <v>0</v>
      </c>
      <c r="AN30" s="241">
        <v>0</v>
      </c>
      <c r="AO30" s="241">
        <v>0</v>
      </c>
      <c r="AP30" s="241">
        <v>0</v>
      </c>
      <c r="AQ30" s="241">
        <v>0</v>
      </c>
      <c r="AR30" s="241">
        <v>0</v>
      </c>
      <c r="AS30" s="241">
        <v>0</v>
      </c>
      <c r="AT30" s="241">
        <v>0</v>
      </c>
      <c r="AU30" s="241">
        <v>0.58</v>
      </c>
      <c r="AV30" s="241">
        <v>0</v>
      </c>
      <c r="AW30" s="241">
        <v>0</v>
      </c>
      <c r="AX30" s="241">
        <v>0</v>
      </c>
      <c r="AY30" s="241">
        <v>0</v>
      </c>
      <c r="AZ30" s="241">
        <v>0</v>
      </c>
      <c r="BA30" s="241">
        <v>0</v>
      </c>
      <c r="BB30" s="241">
        <v>0</v>
      </c>
      <c r="BC30" s="229"/>
    </row>
    <row r="31" spans="1:55" ht="18.75" hidden="1">
      <c r="A31" s="45" t="s">
        <v>197</v>
      </c>
      <c r="B31" s="166" t="s">
        <v>65</v>
      </c>
      <c r="C31" s="161"/>
      <c r="D31" s="229"/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0</v>
      </c>
      <c r="N31" s="241">
        <v>0</v>
      </c>
      <c r="O31" s="241">
        <v>0</v>
      </c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</v>
      </c>
      <c r="V31" s="241">
        <v>0</v>
      </c>
      <c r="W31" s="241">
        <v>0</v>
      </c>
      <c r="X31" s="241">
        <v>0</v>
      </c>
      <c r="Y31" s="241">
        <v>0</v>
      </c>
      <c r="Z31" s="241">
        <v>0</v>
      </c>
      <c r="AA31" s="241">
        <v>0</v>
      </c>
      <c r="AB31" s="241">
        <v>0</v>
      </c>
      <c r="AC31" s="241">
        <v>0</v>
      </c>
      <c r="AD31" s="241">
        <v>0</v>
      </c>
      <c r="AE31" s="241">
        <v>0</v>
      </c>
      <c r="AF31" s="241">
        <v>0</v>
      </c>
      <c r="AG31" s="241">
        <v>0</v>
      </c>
      <c r="AH31" s="241">
        <v>0</v>
      </c>
      <c r="AI31" s="241">
        <v>0</v>
      </c>
      <c r="AJ31" s="241">
        <v>0</v>
      </c>
      <c r="AK31" s="241">
        <v>0</v>
      </c>
      <c r="AL31" s="241">
        <v>0</v>
      </c>
      <c r="AM31" s="241">
        <v>0</v>
      </c>
      <c r="AN31" s="241">
        <v>0</v>
      </c>
      <c r="AO31" s="241">
        <v>0</v>
      </c>
      <c r="AP31" s="241">
        <v>0</v>
      </c>
      <c r="AQ31" s="241">
        <v>0</v>
      </c>
      <c r="AR31" s="241">
        <v>0</v>
      </c>
      <c r="AS31" s="241">
        <v>0</v>
      </c>
      <c r="AT31" s="241">
        <v>0</v>
      </c>
      <c r="AU31" s="241">
        <v>0</v>
      </c>
      <c r="AV31" s="241">
        <v>0</v>
      </c>
      <c r="AW31" s="241">
        <v>0</v>
      </c>
      <c r="AX31" s="241">
        <v>0</v>
      </c>
      <c r="AY31" s="241">
        <v>0</v>
      </c>
      <c r="AZ31" s="241">
        <v>0</v>
      </c>
      <c r="BA31" s="241">
        <v>0</v>
      </c>
      <c r="BB31" s="241">
        <v>0</v>
      </c>
      <c r="BC31" s="229"/>
    </row>
    <row r="32" spans="1:55" ht="18.75" hidden="1">
      <c r="A32" s="45" t="s">
        <v>198</v>
      </c>
      <c r="B32" s="166" t="s">
        <v>68</v>
      </c>
      <c r="C32" s="161"/>
      <c r="D32" s="229"/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41">
        <v>0</v>
      </c>
      <c r="Y32" s="241">
        <v>0</v>
      </c>
      <c r="Z32" s="241">
        <v>0</v>
      </c>
      <c r="AA32" s="241">
        <v>0</v>
      </c>
      <c r="AB32" s="241">
        <v>0</v>
      </c>
      <c r="AC32" s="241">
        <v>0</v>
      </c>
      <c r="AD32" s="241">
        <v>0</v>
      </c>
      <c r="AE32" s="241">
        <v>0</v>
      </c>
      <c r="AF32" s="241">
        <v>0</v>
      </c>
      <c r="AG32" s="241">
        <v>0</v>
      </c>
      <c r="AH32" s="241">
        <v>0</v>
      </c>
      <c r="AI32" s="241">
        <v>0</v>
      </c>
      <c r="AJ32" s="241">
        <v>0</v>
      </c>
      <c r="AK32" s="241">
        <v>0</v>
      </c>
      <c r="AL32" s="241">
        <v>0</v>
      </c>
      <c r="AM32" s="241">
        <v>0</v>
      </c>
      <c r="AN32" s="241">
        <v>0</v>
      </c>
      <c r="AO32" s="241">
        <v>0</v>
      </c>
      <c r="AP32" s="241">
        <v>0</v>
      </c>
      <c r="AQ32" s="241">
        <v>0</v>
      </c>
      <c r="AR32" s="241">
        <v>0</v>
      </c>
      <c r="AS32" s="241">
        <v>0</v>
      </c>
      <c r="AT32" s="241">
        <v>0</v>
      </c>
      <c r="AU32" s="241">
        <v>0</v>
      </c>
      <c r="AV32" s="241">
        <v>0</v>
      </c>
      <c r="AW32" s="241">
        <v>0</v>
      </c>
      <c r="AX32" s="241">
        <v>0</v>
      </c>
      <c r="AY32" s="241">
        <v>0</v>
      </c>
      <c r="AZ32" s="241">
        <v>0</v>
      </c>
      <c r="BA32" s="241">
        <v>0</v>
      </c>
      <c r="BB32" s="241">
        <v>0</v>
      </c>
      <c r="BC32" s="229"/>
    </row>
    <row r="33" spans="1:55" ht="18.75" hidden="1">
      <c r="A33" s="45" t="s">
        <v>199</v>
      </c>
      <c r="B33" s="166" t="s">
        <v>70</v>
      </c>
      <c r="C33" s="161"/>
      <c r="D33" s="229"/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41">
        <v>0</v>
      </c>
      <c r="Y33" s="241">
        <v>0</v>
      </c>
      <c r="Z33" s="241">
        <v>0</v>
      </c>
      <c r="AA33" s="241">
        <v>0</v>
      </c>
      <c r="AB33" s="241">
        <v>0</v>
      </c>
      <c r="AC33" s="241">
        <v>0</v>
      </c>
      <c r="AD33" s="241">
        <v>0</v>
      </c>
      <c r="AE33" s="241">
        <v>0</v>
      </c>
      <c r="AF33" s="241">
        <v>0</v>
      </c>
      <c r="AG33" s="241">
        <v>0</v>
      </c>
      <c r="AH33" s="241">
        <v>0</v>
      </c>
      <c r="AI33" s="241">
        <v>0</v>
      </c>
      <c r="AJ33" s="241">
        <v>0</v>
      </c>
      <c r="AK33" s="241">
        <v>0</v>
      </c>
      <c r="AL33" s="241">
        <v>0</v>
      </c>
      <c r="AM33" s="241">
        <v>0</v>
      </c>
      <c r="AN33" s="241">
        <v>0</v>
      </c>
      <c r="AO33" s="241">
        <v>0</v>
      </c>
      <c r="AP33" s="241">
        <v>0</v>
      </c>
      <c r="AQ33" s="241">
        <v>0</v>
      </c>
      <c r="AR33" s="241">
        <v>0</v>
      </c>
      <c r="AS33" s="241">
        <v>0</v>
      </c>
      <c r="AT33" s="241">
        <v>0</v>
      </c>
      <c r="AU33" s="241">
        <v>0</v>
      </c>
      <c r="AV33" s="241">
        <v>0</v>
      </c>
      <c r="AW33" s="241">
        <v>0</v>
      </c>
      <c r="AX33" s="241">
        <v>0</v>
      </c>
      <c r="AY33" s="241">
        <v>0</v>
      </c>
      <c r="AZ33" s="241">
        <v>0</v>
      </c>
      <c r="BA33" s="241">
        <v>0</v>
      </c>
      <c r="BB33" s="241">
        <v>0</v>
      </c>
      <c r="BC33" s="229"/>
    </row>
    <row r="34" spans="1:55" ht="18.75" hidden="1">
      <c r="A34" s="45" t="s">
        <v>200</v>
      </c>
      <c r="B34" s="166" t="s">
        <v>72</v>
      </c>
      <c r="C34" s="161"/>
      <c r="D34" s="229"/>
      <c r="E34" s="241">
        <v>0</v>
      </c>
      <c r="F34" s="241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41">
        <v>0</v>
      </c>
      <c r="Y34" s="241">
        <v>0</v>
      </c>
      <c r="Z34" s="241">
        <v>0</v>
      </c>
      <c r="AA34" s="241">
        <v>0</v>
      </c>
      <c r="AB34" s="241">
        <v>0</v>
      </c>
      <c r="AC34" s="241">
        <v>0</v>
      </c>
      <c r="AD34" s="241">
        <v>0</v>
      </c>
      <c r="AE34" s="241">
        <v>0</v>
      </c>
      <c r="AF34" s="241">
        <v>0</v>
      </c>
      <c r="AG34" s="241">
        <v>0</v>
      </c>
      <c r="AH34" s="241">
        <v>0</v>
      </c>
      <c r="AI34" s="241">
        <v>0</v>
      </c>
      <c r="AJ34" s="241">
        <v>0</v>
      </c>
      <c r="AK34" s="241">
        <v>0</v>
      </c>
      <c r="AL34" s="241">
        <v>0</v>
      </c>
      <c r="AM34" s="241">
        <v>0</v>
      </c>
      <c r="AN34" s="241">
        <v>0</v>
      </c>
      <c r="AO34" s="241">
        <v>0</v>
      </c>
      <c r="AP34" s="241">
        <v>0</v>
      </c>
      <c r="AQ34" s="241">
        <v>0</v>
      </c>
      <c r="AR34" s="241">
        <v>0</v>
      </c>
      <c r="AS34" s="241">
        <v>0</v>
      </c>
      <c r="AT34" s="241">
        <v>0</v>
      </c>
      <c r="AU34" s="241">
        <v>0</v>
      </c>
      <c r="AV34" s="241">
        <v>0</v>
      </c>
      <c r="AW34" s="241">
        <v>0</v>
      </c>
      <c r="AX34" s="241">
        <v>0</v>
      </c>
      <c r="AY34" s="241">
        <v>0</v>
      </c>
      <c r="AZ34" s="241">
        <v>0</v>
      </c>
      <c r="BA34" s="241">
        <v>0</v>
      </c>
      <c r="BB34" s="241">
        <v>0</v>
      </c>
      <c r="BC34" s="229"/>
    </row>
    <row r="35" spans="1:55" ht="18.75" hidden="1">
      <c r="A35" s="45" t="s">
        <v>201</v>
      </c>
      <c r="B35" s="166" t="s">
        <v>74</v>
      </c>
      <c r="C35" s="161"/>
      <c r="D35" s="229"/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41">
        <v>0</v>
      </c>
      <c r="P35" s="241">
        <v>0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41">
        <v>0</v>
      </c>
      <c r="Y35" s="241">
        <v>0</v>
      </c>
      <c r="Z35" s="241">
        <v>0</v>
      </c>
      <c r="AA35" s="241">
        <v>0</v>
      </c>
      <c r="AB35" s="241">
        <v>0</v>
      </c>
      <c r="AC35" s="241">
        <v>0</v>
      </c>
      <c r="AD35" s="241">
        <v>0</v>
      </c>
      <c r="AE35" s="241">
        <v>0</v>
      </c>
      <c r="AF35" s="241">
        <v>0</v>
      </c>
      <c r="AG35" s="241">
        <v>0</v>
      </c>
      <c r="AH35" s="241">
        <v>0</v>
      </c>
      <c r="AI35" s="241">
        <v>0</v>
      </c>
      <c r="AJ35" s="241">
        <v>0</v>
      </c>
      <c r="AK35" s="241">
        <v>0</v>
      </c>
      <c r="AL35" s="241">
        <v>0</v>
      </c>
      <c r="AM35" s="241">
        <v>0</v>
      </c>
      <c r="AN35" s="241">
        <v>0</v>
      </c>
      <c r="AO35" s="241">
        <v>0</v>
      </c>
      <c r="AP35" s="241">
        <v>0</v>
      </c>
      <c r="AQ35" s="241">
        <v>0</v>
      </c>
      <c r="AR35" s="241">
        <v>0</v>
      </c>
      <c r="AS35" s="241">
        <v>0</v>
      </c>
      <c r="AT35" s="241">
        <v>0</v>
      </c>
      <c r="AU35" s="241">
        <v>0</v>
      </c>
      <c r="AV35" s="241">
        <v>0</v>
      </c>
      <c r="AW35" s="241">
        <v>0</v>
      </c>
      <c r="AX35" s="241">
        <v>0</v>
      </c>
      <c r="AY35" s="241">
        <v>0</v>
      </c>
      <c r="AZ35" s="241">
        <v>0</v>
      </c>
      <c r="BA35" s="241">
        <v>0</v>
      </c>
      <c r="BB35" s="241">
        <v>0</v>
      </c>
      <c r="BC35" s="229"/>
    </row>
    <row r="36" spans="1:55" ht="18.75" hidden="1">
      <c r="A36" s="45" t="s">
        <v>202</v>
      </c>
      <c r="B36" s="166" t="s">
        <v>76</v>
      </c>
      <c r="C36" s="161"/>
      <c r="D36" s="229"/>
      <c r="E36" s="241">
        <v>0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  <c r="R36" s="241">
        <v>0</v>
      </c>
      <c r="S36" s="241">
        <v>0</v>
      </c>
      <c r="T36" s="241">
        <v>0</v>
      </c>
      <c r="U36" s="241">
        <v>0</v>
      </c>
      <c r="V36" s="241">
        <v>0</v>
      </c>
      <c r="W36" s="241">
        <v>0</v>
      </c>
      <c r="X36" s="241">
        <v>0</v>
      </c>
      <c r="Y36" s="241">
        <v>0</v>
      </c>
      <c r="Z36" s="241">
        <v>0</v>
      </c>
      <c r="AA36" s="241">
        <v>0</v>
      </c>
      <c r="AB36" s="241">
        <v>0</v>
      </c>
      <c r="AC36" s="241">
        <v>0</v>
      </c>
      <c r="AD36" s="241">
        <v>0</v>
      </c>
      <c r="AE36" s="241">
        <v>0</v>
      </c>
      <c r="AF36" s="241">
        <v>0</v>
      </c>
      <c r="AG36" s="241">
        <v>0</v>
      </c>
      <c r="AH36" s="241">
        <v>0</v>
      </c>
      <c r="AI36" s="241">
        <v>0</v>
      </c>
      <c r="AJ36" s="241">
        <v>0</v>
      </c>
      <c r="AK36" s="241">
        <v>0</v>
      </c>
      <c r="AL36" s="241">
        <v>0</v>
      </c>
      <c r="AM36" s="241">
        <v>0</v>
      </c>
      <c r="AN36" s="241">
        <v>0</v>
      </c>
      <c r="AO36" s="241">
        <v>0</v>
      </c>
      <c r="AP36" s="241">
        <v>0</v>
      </c>
      <c r="AQ36" s="241">
        <v>0</v>
      </c>
      <c r="AR36" s="241">
        <v>0</v>
      </c>
      <c r="AS36" s="241">
        <v>0</v>
      </c>
      <c r="AT36" s="241">
        <v>0</v>
      </c>
      <c r="AU36" s="241">
        <v>0</v>
      </c>
      <c r="AV36" s="241">
        <v>0</v>
      </c>
      <c r="AW36" s="241">
        <v>0</v>
      </c>
      <c r="AX36" s="241">
        <v>0</v>
      </c>
      <c r="AY36" s="241">
        <v>0</v>
      </c>
      <c r="AZ36" s="241">
        <v>0</v>
      </c>
      <c r="BA36" s="241">
        <v>0</v>
      </c>
      <c r="BB36" s="241">
        <v>0</v>
      </c>
      <c r="BC36" s="229"/>
    </row>
    <row r="37" spans="1:55" ht="18.75" hidden="1">
      <c r="A37" s="45" t="s">
        <v>203</v>
      </c>
      <c r="B37" s="166" t="s">
        <v>78</v>
      </c>
      <c r="C37" s="161"/>
      <c r="D37" s="229"/>
      <c r="E37" s="241">
        <v>0</v>
      </c>
      <c r="F37" s="241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41">
        <v>0</v>
      </c>
      <c r="Y37" s="241">
        <v>0</v>
      </c>
      <c r="Z37" s="241">
        <v>0</v>
      </c>
      <c r="AA37" s="241">
        <v>0</v>
      </c>
      <c r="AB37" s="241">
        <v>0</v>
      </c>
      <c r="AC37" s="241">
        <v>0</v>
      </c>
      <c r="AD37" s="241">
        <v>0</v>
      </c>
      <c r="AE37" s="241">
        <v>0</v>
      </c>
      <c r="AF37" s="241">
        <v>0</v>
      </c>
      <c r="AG37" s="241">
        <v>0</v>
      </c>
      <c r="AH37" s="241">
        <v>0</v>
      </c>
      <c r="AI37" s="241">
        <v>0</v>
      </c>
      <c r="AJ37" s="241">
        <v>0</v>
      </c>
      <c r="AK37" s="241">
        <v>0</v>
      </c>
      <c r="AL37" s="241">
        <v>0</v>
      </c>
      <c r="AM37" s="241">
        <v>0</v>
      </c>
      <c r="AN37" s="241">
        <v>0</v>
      </c>
      <c r="AO37" s="241">
        <v>0</v>
      </c>
      <c r="AP37" s="241">
        <v>0</v>
      </c>
      <c r="AQ37" s="241">
        <v>0</v>
      </c>
      <c r="AR37" s="241">
        <v>0</v>
      </c>
      <c r="AS37" s="241">
        <v>0</v>
      </c>
      <c r="AT37" s="241">
        <v>0</v>
      </c>
      <c r="AU37" s="241">
        <v>0</v>
      </c>
      <c r="AV37" s="241">
        <v>0</v>
      </c>
      <c r="AW37" s="241">
        <v>0</v>
      </c>
      <c r="AX37" s="241">
        <v>0</v>
      </c>
      <c r="AY37" s="241">
        <v>0</v>
      </c>
      <c r="AZ37" s="241">
        <v>0</v>
      </c>
      <c r="BA37" s="241">
        <v>0</v>
      </c>
      <c r="BB37" s="241">
        <v>0</v>
      </c>
      <c r="BC37" s="229"/>
    </row>
    <row r="38" spans="1:55" ht="18.75" hidden="1">
      <c r="A38" s="45" t="s">
        <v>204</v>
      </c>
      <c r="B38" s="166" t="s">
        <v>80</v>
      </c>
      <c r="C38" s="161"/>
      <c r="D38" s="229"/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0</v>
      </c>
      <c r="P38" s="241">
        <v>0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41">
        <v>0</v>
      </c>
      <c r="Y38" s="241">
        <v>0</v>
      </c>
      <c r="Z38" s="241">
        <v>0</v>
      </c>
      <c r="AA38" s="241">
        <v>0</v>
      </c>
      <c r="AB38" s="241">
        <v>0</v>
      </c>
      <c r="AC38" s="241">
        <v>0</v>
      </c>
      <c r="AD38" s="241">
        <v>0</v>
      </c>
      <c r="AE38" s="241">
        <v>0</v>
      </c>
      <c r="AF38" s="241">
        <v>0</v>
      </c>
      <c r="AG38" s="241">
        <v>0</v>
      </c>
      <c r="AH38" s="241">
        <v>0</v>
      </c>
      <c r="AI38" s="241">
        <v>0</v>
      </c>
      <c r="AJ38" s="241">
        <v>0</v>
      </c>
      <c r="AK38" s="241">
        <v>0</v>
      </c>
      <c r="AL38" s="241">
        <v>0</v>
      </c>
      <c r="AM38" s="241">
        <v>0</v>
      </c>
      <c r="AN38" s="241">
        <v>0</v>
      </c>
      <c r="AO38" s="241">
        <v>0</v>
      </c>
      <c r="AP38" s="241">
        <v>0</v>
      </c>
      <c r="AQ38" s="241">
        <v>0</v>
      </c>
      <c r="AR38" s="241">
        <v>0</v>
      </c>
      <c r="AS38" s="241">
        <v>0</v>
      </c>
      <c r="AT38" s="241">
        <v>0</v>
      </c>
      <c r="AU38" s="241">
        <v>0</v>
      </c>
      <c r="AV38" s="241">
        <v>0</v>
      </c>
      <c r="AW38" s="241">
        <v>0</v>
      </c>
      <c r="AX38" s="241">
        <v>0</v>
      </c>
      <c r="AY38" s="241">
        <v>0</v>
      </c>
      <c r="AZ38" s="241">
        <v>0</v>
      </c>
      <c r="BA38" s="241">
        <v>0</v>
      </c>
      <c r="BB38" s="241">
        <v>0</v>
      </c>
      <c r="BC38" s="229"/>
    </row>
    <row r="39" spans="1:55" ht="18.75" hidden="1">
      <c r="A39" s="45" t="s">
        <v>205</v>
      </c>
      <c r="B39" s="166" t="s">
        <v>82</v>
      </c>
      <c r="C39" s="161"/>
      <c r="D39" s="229"/>
      <c r="E39" s="241">
        <v>0</v>
      </c>
      <c r="F39" s="241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41">
        <v>0</v>
      </c>
      <c r="Y39" s="241">
        <v>0</v>
      </c>
      <c r="Z39" s="241">
        <v>0</v>
      </c>
      <c r="AA39" s="241">
        <v>0</v>
      </c>
      <c r="AB39" s="241">
        <v>0</v>
      </c>
      <c r="AC39" s="241">
        <v>0</v>
      </c>
      <c r="AD39" s="241">
        <v>0</v>
      </c>
      <c r="AE39" s="241">
        <v>0</v>
      </c>
      <c r="AF39" s="241">
        <v>0</v>
      </c>
      <c r="AG39" s="241">
        <v>0</v>
      </c>
      <c r="AH39" s="241">
        <v>0</v>
      </c>
      <c r="AI39" s="241">
        <v>0</v>
      </c>
      <c r="AJ39" s="241">
        <v>0</v>
      </c>
      <c r="AK39" s="241">
        <v>0</v>
      </c>
      <c r="AL39" s="241">
        <v>0</v>
      </c>
      <c r="AM39" s="241">
        <v>0</v>
      </c>
      <c r="AN39" s="241">
        <v>0</v>
      </c>
      <c r="AO39" s="241">
        <v>0</v>
      </c>
      <c r="AP39" s="241">
        <v>0</v>
      </c>
      <c r="AQ39" s="241">
        <v>0</v>
      </c>
      <c r="AR39" s="241">
        <v>0</v>
      </c>
      <c r="AS39" s="241">
        <v>0</v>
      </c>
      <c r="AT39" s="241">
        <v>0</v>
      </c>
      <c r="AU39" s="241">
        <v>0</v>
      </c>
      <c r="AV39" s="241">
        <v>0</v>
      </c>
      <c r="AW39" s="241">
        <v>0</v>
      </c>
      <c r="AX39" s="241">
        <v>0</v>
      </c>
      <c r="AY39" s="241">
        <v>0</v>
      </c>
      <c r="AZ39" s="241">
        <v>0</v>
      </c>
      <c r="BA39" s="241">
        <v>0</v>
      </c>
      <c r="BB39" s="241">
        <v>0</v>
      </c>
      <c r="BC39" s="229"/>
    </row>
    <row r="40" spans="1:55" ht="18.75" hidden="1">
      <c r="A40" s="45" t="s">
        <v>206</v>
      </c>
      <c r="B40" s="166" t="s">
        <v>86</v>
      </c>
      <c r="C40" s="161"/>
      <c r="D40" s="229"/>
      <c r="E40" s="241">
        <v>0</v>
      </c>
      <c r="F40" s="241">
        <v>0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241">
        <v>0</v>
      </c>
      <c r="N40" s="241">
        <v>0</v>
      </c>
      <c r="O40" s="241">
        <v>0</v>
      </c>
      <c r="P40" s="241">
        <v>0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41">
        <v>0</v>
      </c>
      <c r="Y40" s="241">
        <v>0</v>
      </c>
      <c r="Z40" s="241">
        <v>0</v>
      </c>
      <c r="AA40" s="241">
        <v>0</v>
      </c>
      <c r="AB40" s="241">
        <v>0</v>
      </c>
      <c r="AC40" s="241">
        <v>0</v>
      </c>
      <c r="AD40" s="241">
        <v>0</v>
      </c>
      <c r="AE40" s="241">
        <v>0</v>
      </c>
      <c r="AF40" s="241">
        <v>0</v>
      </c>
      <c r="AG40" s="241">
        <v>0</v>
      </c>
      <c r="AH40" s="241">
        <v>0</v>
      </c>
      <c r="AI40" s="241">
        <v>0</v>
      </c>
      <c r="AJ40" s="241">
        <v>0</v>
      </c>
      <c r="AK40" s="241">
        <v>0</v>
      </c>
      <c r="AL40" s="241">
        <v>0</v>
      </c>
      <c r="AM40" s="241">
        <v>0</v>
      </c>
      <c r="AN40" s="241">
        <v>0</v>
      </c>
      <c r="AO40" s="241">
        <v>0</v>
      </c>
      <c r="AP40" s="241">
        <v>0</v>
      </c>
      <c r="AQ40" s="241">
        <v>0</v>
      </c>
      <c r="AR40" s="241">
        <v>0</v>
      </c>
      <c r="AS40" s="241">
        <v>0</v>
      </c>
      <c r="AT40" s="241">
        <v>0</v>
      </c>
      <c r="AU40" s="241">
        <v>0</v>
      </c>
      <c r="AV40" s="241">
        <v>0</v>
      </c>
      <c r="AW40" s="241">
        <v>0</v>
      </c>
      <c r="AX40" s="241">
        <v>0</v>
      </c>
      <c r="AY40" s="241">
        <v>0</v>
      </c>
      <c r="AZ40" s="241">
        <v>0</v>
      </c>
      <c r="BA40" s="241">
        <v>0</v>
      </c>
      <c r="BB40" s="241">
        <v>0</v>
      </c>
      <c r="BC40" s="229"/>
    </row>
    <row r="41" spans="1:55" ht="18.75" hidden="1">
      <c r="A41" s="45" t="s">
        <v>207</v>
      </c>
      <c r="B41" s="166" t="s">
        <v>88</v>
      </c>
      <c r="C41" s="161"/>
      <c r="D41" s="229"/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41">
        <v>0</v>
      </c>
      <c r="Y41" s="241">
        <v>0</v>
      </c>
      <c r="Z41" s="241">
        <v>0</v>
      </c>
      <c r="AA41" s="241">
        <v>0</v>
      </c>
      <c r="AB41" s="241">
        <v>0</v>
      </c>
      <c r="AC41" s="241">
        <v>0</v>
      </c>
      <c r="AD41" s="241">
        <v>0</v>
      </c>
      <c r="AE41" s="241">
        <v>0</v>
      </c>
      <c r="AF41" s="241">
        <v>0</v>
      </c>
      <c r="AG41" s="241">
        <v>0</v>
      </c>
      <c r="AH41" s="241">
        <v>0</v>
      </c>
      <c r="AI41" s="241">
        <v>0</v>
      </c>
      <c r="AJ41" s="241">
        <v>0</v>
      </c>
      <c r="AK41" s="241">
        <v>0</v>
      </c>
      <c r="AL41" s="241">
        <v>0</v>
      </c>
      <c r="AM41" s="241">
        <v>0</v>
      </c>
      <c r="AN41" s="241">
        <v>0</v>
      </c>
      <c r="AO41" s="241">
        <v>0</v>
      </c>
      <c r="AP41" s="241">
        <v>0</v>
      </c>
      <c r="AQ41" s="241">
        <v>0</v>
      </c>
      <c r="AR41" s="241">
        <v>0</v>
      </c>
      <c r="AS41" s="241">
        <v>0</v>
      </c>
      <c r="AT41" s="241">
        <v>0</v>
      </c>
      <c r="AU41" s="241">
        <v>0</v>
      </c>
      <c r="AV41" s="241">
        <v>0</v>
      </c>
      <c r="AW41" s="241">
        <v>0</v>
      </c>
      <c r="AX41" s="241">
        <v>0</v>
      </c>
      <c r="AY41" s="241">
        <v>0</v>
      </c>
      <c r="AZ41" s="241">
        <v>0</v>
      </c>
      <c r="BA41" s="241">
        <v>0</v>
      </c>
      <c r="BB41" s="241">
        <v>0</v>
      </c>
      <c r="BC41" s="229"/>
    </row>
    <row r="42" spans="1:55" ht="37.5">
      <c r="A42" s="49" t="s">
        <v>165</v>
      </c>
      <c r="B42" s="175" t="s">
        <v>90</v>
      </c>
      <c r="C42" s="161"/>
      <c r="D42" s="229"/>
      <c r="E42" s="241">
        <f aca="true" t="shared" si="6" ref="E42:AJ42">E43</f>
        <v>0</v>
      </c>
      <c r="F42" s="241">
        <f t="shared" si="6"/>
        <v>0</v>
      </c>
      <c r="G42" s="241">
        <f t="shared" si="6"/>
        <v>0</v>
      </c>
      <c r="H42" s="241">
        <f t="shared" si="6"/>
        <v>0</v>
      </c>
      <c r="I42" s="241">
        <f t="shared" si="6"/>
        <v>0</v>
      </c>
      <c r="J42" s="241">
        <f t="shared" si="6"/>
        <v>0</v>
      </c>
      <c r="K42" s="241">
        <f t="shared" si="6"/>
        <v>0</v>
      </c>
      <c r="L42" s="241">
        <f t="shared" si="6"/>
        <v>0</v>
      </c>
      <c r="M42" s="241">
        <f t="shared" si="6"/>
        <v>0</v>
      </c>
      <c r="N42" s="241">
        <f t="shared" si="6"/>
        <v>0</v>
      </c>
      <c r="O42" s="241">
        <f t="shared" si="6"/>
        <v>0</v>
      </c>
      <c r="P42" s="241">
        <f t="shared" si="6"/>
        <v>0</v>
      </c>
      <c r="Q42" s="241">
        <f t="shared" si="6"/>
        <v>0</v>
      </c>
      <c r="R42" s="241">
        <f t="shared" si="6"/>
        <v>0</v>
      </c>
      <c r="S42" s="241">
        <f t="shared" si="6"/>
        <v>0</v>
      </c>
      <c r="T42" s="241">
        <f t="shared" si="6"/>
        <v>0</v>
      </c>
      <c r="U42" s="241">
        <f t="shared" si="6"/>
        <v>0</v>
      </c>
      <c r="V42" s="241">
        <f t="shared" si="6"/>
        <v>0</v>
      </c>
      <c r="W42" s="241">
        <f t="shared" si="6"/>
        <v>0</v>
      </c>
      <c r="X42" s="241">
        <f t="shared" si="6"/>
        <v>0</v>
      </c>
      <c r="Y42" s="241">
        <f t="shared" si="6"/>
        <v>0</v>
      </c>
      <c r="Z42" s="241">
        <f t="shared" si="6"/>
        <v>0</v>
      </c>
      <c r="AA42" s="241">
        <f t="shared" si="6"/>
        <v>0</v>
      </c>
      <c r="AB42" s="241">
        <f t="shared" si="6"/>
        <v>0</v>
      </c>
      <c r="AC42" s="241">
        <f t="shared" si="6"/>
        <v>0</v>
      </c>
      <c r="AD42" s="241">
        <f t="shared" si="6"/>
        <v>0</v>
      </c>
      <c r="AE42" s="241">
        <f t="shared" si="6"/>
        <v>0</v>
      </c>
      <c r="AF42" s="241">
        <f t="shared" si="6"/>
        <v>0</v>
      </c>
      <c r="AG42" s="241">
        <f t="shared" si="6"/>
        <v>0</v>
      </c>
      <c r="AH42" s="241">
        <f t="shared" si="6"/>
        <v>0</v>
      </c>
      <c r="AI42" s="241">
        <f t="shared" si="6"/>
        <v>0</v>
      </c>
      <c r="AJ42" s="241">
        <f t="shared" si="6"/>
        <v>0</v>
      </c>
      <c r="AK42" s="241">
        <f aca="true" t="shared" si="7" ref="AK42:BB42">AK43</f>
        <v>0</v>
      </c>
      <c r="AL42" s="241">
        <f t="shared" si="7"/>
        <v>0</v>
      </c>
      <c r="AM42" s="241">
        <f t="shared" si="7"/>
        <v>0</v>
      </c>
      <c r="AN42" s="241">
        <f t="shared" si="7"/>
        <v>0</v>
      </c>
      <c r="AO42" s="241">
        <f t="shared" si="7"/>
        <v>0</v>
      </c>
      <c r="AP42" s="241">
        <f t="shared" si="7"/>
        <v>0</v>
      </c>
      <c r="AQ42" s="241">
        <f t="shared" si="7"/>
        <v>0</v>
      </c>
      <c r="AR42" s="241">
        <f t="shared" si="7"/>
        <v>0</v>
      </c>
      <c r="AS42" s="241">
        <f t="shared" si="7"/>
        <v>0</v>
      </c>
      <c r="AT42" s="241">
        <f t="shared" si="7"/>
        <v>0</v>
      </c>
      <c r="AU42" s="241">
        <f t="shared" si="7"/>
        <v>0</v>
      </c>
      <c r="AV42" s="241">
        <f t="shared" si="7"/>
        <v>0</v>
      </c>
      <c r="AW42" s="241">
        <f t="shared" si="7"/>
        <v>0</v>
      </c>
      <c r="AX42" s="241">
        <f t="shared" si="7"/>
        <v>0</v>
      </c>
      <c r="AY42" s="241">
        <f t="shared" si="7"/>
        <v>0</v>
      </c>
      <c r="AZ42" s="241">
        <f t="shared" si="7"/>
        <v>0</v>
      </c>
      <c r="BA42" s="241">
        <f t="shared" si="7"/>
        <v>0</v>
      </c>
      <c r="BB42" s="241">
        <f t="shared" si="7"/>
        <v>0</v>
      </c>
      <c r="BC42" s="229"/>
    </row>
    <row r="43" spans="1:55" ht="18.75" hidden="1">
      <c r="A43" s="45" t="s">
        <v>166</v>
      </c>
      <c r="B43" s="175"/>
      <c r="C43" s="161"/>
      <c r="D43" s="229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29"/>
    </row>
    <row r="44" spans="1:55" ht="18.75" hidden="1">
      <c r="A44" s="45" t="s">
        <v>167</v>
      </c>
      <c r="B44" s="166" t="s">
        <v>91</v>
      </c>
      <c r="C44" s="161"/>
      <c r="D44" s="229"/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241">
        <v>0</v>
      </c>
      <c r="N44" s="241">
        <v>0</v>
      </c>
      <c r="O44" s="241">
        <v>0</v>
      </c>
      <c r="P44" s="241">
        <v>0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41">
        <v>0</v>
      </c>
      <c r="Y44" s="241">
        <v>0</v>
      </c>
      <c r="Z44" s="241">
        <v>0</v>
      </c>
      <c r="AA44" s="241">
        <v>0</v>
      </c>
      <c r="AB44" s="241">
        <v>0</v>
      </c>
      <c r="AC44" s="241">
        <v>0</v>
      </c>
      <c r="AD44" s="241">
        <v>0</v>
      </c>
      <c r="AE44" s="241">
        <v>0</v>
      </c>
      <c r="AF44" s="241">
        <v>0</v>
      </c>
      <c r="AG44" s="241">
        <v>0</v>
      </c>
      <c r="AH44" s="241">
        <v>0</v>
      </c>
      <c r="AI44" s="241">
        <v>0</v>
      </c>
      <c r="AJ44" s="241">
        <v>0</v>
      </c>
      <c r="AK44" s="241">
        <v>0</v>
      </c>
      <c r="AL44" s="241">
        <v>0</v>
      </c>
      <c r="AM44" s="241">
        <v>0</v>
      </c>
      <c r="AN44" s="241">
        <v>0</v>
      </c>
      <c r="AO44" s="241">
        <v>0</v>
      </c>
      <c r="AP44" s="241">
        <v>0</v>
      </c>
      <c r="AQ44" s="241">
        <v>0</v>
      </c>
      <c r="AR44" s="241">
        <v>0</v>
      </c>
      <c r="AS44" s="241">
        <v>0</v>
      </c>
      <c r="AT44" s="241">
        <v>0</v>
      </c>
      <c r="AU44" s="241">
        <v>0</v>
      </c>
      <c r="AV44" s="241">
        <v>0</v>
      </c>
      <c r="AW44" s="241">
        <v>0</v>
      </c>
      <c r="AX44" s="241">
        <v>0</v>
      </c>
      <c r="AY44" s="241">
        <v>0</v>
      </c>
      <c r="AZ44" s="241">
        <v>0</v>
      </c>
      <c r="BA44" s="241">
        <v>0</v>
      </c>
      <c r="BB44" s="241">
        <v>0</v>
      </c>
      <c r="BC44" s="229"/>
    </row>
    <row r="45" spans="1:55" ht="18.75" hidden="1">
      <c r="A45" s="45" t="s">
        <v>168</v>
      </c>
      <c r="B45" s="166" t="s">
        <v>92</v>
      </c>
      <c r="C45" s="161"/>
      <c r="D45" s="229"/>
      <c r="E45" s="241">
        <v>0</v>
      </c>
      <c r="F45" s="241">
        <v>0</v>
      </c>
      <c r="G45" s="241">
        <v>0</v>
      </c>
      <c r="H45" s="241">
        <v>0</v>
      </c>
      <c r="I45" s="241">
        <v>0</v>
      </c>
      <c r="J45" s="241">
        <v>0</v>
      </c>
      <c r="K45" s="241">
        <v>0</v>
      </c>
      <c r="L45" s="241">
        <v>0</v>
      </c>
      <c r="M45" s="241">
        <v>0</v>
      </c>
      <c r="N45" s="241">
        <v>0</v>
      </c>
      <c r="O45" s="241">
        <v>0</v>
      </c>
      <c r="P45" s="241">
        <v>0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41">
        <v>0</v>
      </c>
      <c r="Y45" s="241">
        <v>0</v>
      </c>
      <c r="Z45" s="241">
        <v>0</v>
      </c>
      <c r="AA45" s="241">
        <v>0</v>
      </c>
      <c r="AB45" s="241">
        <v>0</v>
      </c>
      <c r="AC45" s="241">
        <v>0</v>
      </c>
      <c r="AD45" s="241">
        <v>0</v>
      </c>
      <c r="AE45" s="241">
        <v>0</v>
      </c>
      <c r="AF45" s="241">
        <v>0</v>
      </c>
      <c r="AG45" s="241">
        <v>0</v>
      </c>
      <c r="AH45" s="241">
        <v>0</v>
      </c>
      <c r="AI45" s="241">
        <v>0</v>
      </c>
      <c r="AJ45" s="241">
        <v>0</v>
      </c>
      <c r="AK45" s="241">
        <v>0</v>
      </c>
      <c r="AL45" s="241">
        <v>0</v>
      </c>
      <c r="AM45" s="241">
        <v>0</v>
      </c>
      <c r="AN45" s="241">
        <v>0</v>
      </c>
      <c r="AO45" s="241">
        <v>0</v>
      </c>
      <c r="AP45" s="241">
        <v>0</v>
      </c>
      <c r="AQ45" s="241">
        <v>0</v>
      </c>
      <c r="AR45" s="241">
        <v>0</v>
      </c>
      <c r="AS45" s="241">
        <v>0</v>
      </c>
      <c r="AT45" s="241">
        <v>0</v>
      </c>
      <c r="AU45" s="241">
        <v>0</v>
      </c>
      <c r="AV45" s="241">
        <v>0</v>
      </c>
      <c r="AW45" s="241">
        <v>0</v>
      </c>
      <c r="AX45" s="241">
        <v>0</v>
      </c>
      <c r="AY45" s="241">
        <v>0</v>
      </c>
      <c r="AZ45" s="241">
        <v>0</v>
      </c>
      <c r="BA45" s="241">
        <v>0</v>
      </c>
      <c r="BB45" s="241">
        <v>0</v>
      </c>
      <c r="BC45" s="229"/>
    </row>
    <row r="46" spans="1:55" ht="18.75" hidden="1">
      <c r="A46" s="45" t="s">
        <v>169</v>
      </c>
      <c r="B46" s="166" t="s">
        <v>94</v>
      </c>
      <c r="C46" s="161"/>
      <c r="D46" s="229"/>
      <c r="E46" s="241">
        <v>0</v>
      </c>
      <c r="F46" s="241">
        <v>0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0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41">
        <v>0</v>
      </c>
      <c r="Y46" s="241">
        <v>0</v>
      </c>
      <c r="Z46" s="241">
        <v>0</v>
      </c>
      <c r="AA46" s="241">
        <v>0</v>
      </c>
      <c r="AB46" s="241">
        <v>0</v>
      </c>
      <c r="AC46" s="241">
        <v>0</v>
      </c>
      <c r="AD46" s="241">
        <v>0</v>
      </c>
      <c r="AE46" s="241">
        <v>0</v>
      </c>
      <c r="AF46" s="241">
        <v>0</v>
      </c>
      <c r="AG46" s="241">
        <v>0</v>
      </c>
      <c r="AH46" s="241">
        <v>0</v>
      </c>
      <c r="AI46" s="241">
        <v>0</v>
      </c>
      <c r="AJ46" s="241">
        <v>0</v>
      </c>
      <c r="AK46" s="241">
        <v>0</v>
      </c>
      <c r="AL46" s="241">
        <v>0</v>
      </c>
      <c r="AM46" s="241">
        <v>0</v>
      </c>
      <c r="AN46" s="241">
        <v>0</v>
      </c>
      <c r="AO46" s="241">
        <v>0</v>
      </c>
      <c r="AP46" s="241">
        <v>0</v>
      </c>
      <c r="AQ46" s="241">
        <v>0</v>
      </c>
      <c r="AR46" s="241">
        <v>0</v>
      </c>
      <c r="AS46" s="241">
        <v>0</v>
      </c>
      <c r="AT46" s="241">
        <v>0</v>
      </c>
      <c r="AU46" s="241">
        <v>0</v>
      </c>
      <c r="AV46" s="241">
        <v>0</v>
      </c>
      <c r="AW46" s="241">
        <v>0</v>
      </c>
      <c r="AX46" s="241">
        <v>0</v>
      </c>
      <c r="AY46" s="241">
        <v>0</v>
      </c>
      <c r="AZ46" s="241">
        <v>0</v>
      </c>
      <c r="BA46" s="241">
        <v>0</v>
      </c>
      <c r="BB46" s="241">
        <v>0</v>
      </c>
      <c r="BC46" s="229"/>
    </row>
    <row r="47" spans="1:55" ht="37.5">
      <c r="A47" s="49" t="s">
        <v>100</v>
      </c>
      <c r="B47" s="163" t="s">
        <v>101</v>
      </c>
      <c r="C47" s="161"/>
      <c r="D47" s="229"/>
      <c r="E47" s="241">
        <v>0</v>
      </c>
      <c r="F47" s="241">
        <v>0</v>
      </c>
      <c r="G47" s="241">
        <v>0</v>
      </c>
      <c r="H47" s="241">
        <v>0</v>
      </c>
      <c r="I47" s="241">
        <v>0</v>
      </c>
      <c r="J47" s="241">
        <v>0</v>
      </c>
      <c r="K47" s="241">
        <v>0</v>
      </c>
      <c r="L47" s="241">
        <v>0</v>
      </c>
      <c r="M47" s="241">
        <v>0</v>
      </c>
      <c r="N47" s="241">
        <v>0</v>
      </c>
      <c r="O47" s="241">
        <v>0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41">
        <v>0</v>
      </c>
      <c r="Y47" s="241">
        <v>0</v>
      </c>
      <c r="Z47" s="241">
        <v>0</v>
      </c>
      <c r="AA47" s="241">
        <v>0</v>
      </c>
      <c r="AB47" s="241">
        <v>0</v>
      </c>
      <c r="AC47" s="241">
        <v>0</v>
      </c>
      <c r="AD47" s="241">
        <v>0</v>
      </c>
      <c r="AE47" s="241">
        <v>0</v>
      </c>
      <c r="AF47" s="241">
        <v>0</v>
      </c>
      <c r="AG47" s="241">
        <v>0</v>
      </c>
      <c r="AH47" s="241">
        <v>0</v>
      </c>
      <c r="AI47" s="241">
        <v>0</v>
      </c>
      <c r="AJ47" s="241">
        <v>0</v>
      </c>
      <c r="AK47" s="241">
        <v>0</v>
      </c>
      <c r="AL47" s="241">
        <v>0</v>
      </c>
      <c r="AM47" s="241">
        <v>0</v>
      </c>
      <c r="AN47" s="241">
        <v>0</v>
      </c>
      <c r="AO47" s="241">
        <v>0</v>
      </c>
      <c r="AP47" s="241">
        <v>0</v>
      </c>
      <c r="AQ47" s="241">
        <v>0</v>
      </c>
      <c r="AR47" s="241">
        <v>0</v>
      </c>
      <c r="AS47" s="241">
        <v>0</v>
      </c>
      <c r="AT47" s="241">
        <v>0</v>
      </c>
      <c r="AU47" s="241">
        <v>0</v>
      </c>
      <c r="AV47" s="241">
        <v>0</v>
      </c>
      <c r="AW47" s="241">
        <v>0</v>
      </c>
      <c r="AX47" s="241">
        <v>0</v>
      </c>
      <c r="AY47" s="241">
        <v>0</v>
      </c>
      <c r="AZ47" s="241">
        <v>0</v>
      </c>
      <c r="BA47" s="241">
        <v>0</v>
      </c>
      <c r="BB47" s="241">
        <v>0</v>
      </c>
      <c r="BC47" s="229"/>
    </row>
    <row r="48" spans="1:55" ht="56.25" hidden="1">
      <c r="A48" s="45" t="s">
        <v>102</v>
      </c>
      <c r="B48" s="166" t="s">
        <v>105</v>
      </c>
      <c r="C48" s="161"/>
      <c r="D48" s="229"/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41">
        <v>0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41">
        <v>0</v>
      </c>
      <c r="Y48" s="241">
        <v>0</v>
      </c>
      <c r="Z48" s="241">
        <v>0</v>
      </c>
      <c r="AA48" s="241">
        <v>0</v>
      </c>
      <c r="AB48" s="241">
        <v>0</v>
      </c>
      <c r="AC48" s="241">
        <v>0</v>
      </c>
      <c r="AD48" s="241">
        <v>0</v>
      </c>
      <c r="AE48" s="241">
        <v>0</v>
      </c>
      <c r="AF48" s="241">
        <v>0</v>
      </c>
      <c r="AG48" s="241">
        <v>0</v>
      </c>
      <c r="AH48" s="241">
        <v>0</v>
      </c>
      <c r="AI48" s="241">
        <v>0</v>
      </c>
      <c r="AJ48" s="241">
        <v>0</v>
      </c>
      <c r="AK48" s="241">
        <v>0</v>
      </c>
      <c r="AL48" s="241">
        <v>0</v>
      </c>
      <c r="AM48" s="241">
        <v>0</v>
      </c>
      <c r="AN48" s="241">
        <v>0</v>
      </c>
      <c r="AO48" s="241">
        <v>0</v>
      </c>
      <c r="AP48" s="241">
        <v>0</v>
      </c>
      <c r="AQ48" s="241">
        <v>0</v>
      </c>
      <c r="AR48" s="241">
        <v>0</v>
      </c>
      <c r="AS48" s="241">
        <v>0</v>
      </c>
      <c r="AT48" s="241">
        <v>0</v>
      </c>
      <c r="AU48" s="241">
        <v>0</v>
      </c>
      <c r="AV48" s="241">
        <v>0</v>
      </c>
      <c r="AW48" s="241">
        <v>0</v>
      </c>
      <c r="AX48" s="241">
        <v>0</v>
      </c>
      <c r="AY48" s="241">
        <v>0</v>
      </c>
      <c r="AZ48" s="241">
        <v>0</v>
      </c>
      <c r="BA48" s="241">
        <v>0</v>
      </c>
      <c r="BB48" s="241">
        <v>0</v>
      </c>
      <c r="BC48" s="229"/>
    </row>
    <row r="49" spans="1:55" ht="18.75" hidden="1">
      <c r="A49" s="45" t="s">
        <v>104</v>
      </c>
      <c r="B49" s="166" t="s">
        <v>103</v>
      </c>
      <c r="C49" s="161"/>
      <c r="D49" s="229"/>
      <c r="E49" s="241">
        <v>0</v>
      </c>
      <c r="F49" s="241">
        <v>0</v>
      </c>
      <c r="G49" s="241">
        <v>0</v>
      </c>
      <c r="H49" s="241">
        <v>0</v>
      </c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41">
        <v>0</v>
      </c>
      <c r="O49" s="241">
        <v>0</v>
      </c>
      <c r="P49" s="241">
        <v>0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41">
        <v>0</v>
      </c>
      <c r="Y49" s="241">
        <v>0</v>
      </c>
      <c r="Z49" s="241">
        <v>0</v>
      </c>
      <c r="AA49" s="241">
        <v>0</v>
      </c>
      <c r="AB49" s="241">
        <v>0</v>
      </c>
      <c r="AC49" s="241">
        <v>0</v>
      </c>
      <c r="AD49" s="241">
        <v>0</v>
      </c>
      <c r="AE49" s="241">
        <v>0</v>
      </c>
      <c r="AF49" s="241">
        <v>0</v>
      </c>
      <c r="AG49" s="241">
        <v>0</v>
      </c>
      <c r="AH49" s="241">
        <v>0</v>
      </c>
      <c r="AI49" s="241">
        <v>0</v>
      </c>
      <c r="AJ49" s="241">
        <v>0</v>
      </c>
      <c r="AK49" s="241">
        <v>0</v>
      </c>
      <c r="AL49" s="241">
        <v>0</v>
      </c>
      <c r="AM49" s="241">
        <v>0</v>
      </c>
      <c r="AN49" s="241">
        <v>0</v>
      </c>
      <c r="AO49" s="241">
        <v>0</v>
      </c>
      <c r="AP49" s="241">
        <v>0</v>
      </c>
      <c r="AQ49" s="241">
        <v>0</v>
      </c>
      <c r="AR49" s="241">
        <v>0</v>
      </c>
      <c r="AS49" s="241">
        <v>0</v>
      </c>
      <c r="AT49" s="241">
        <v>0</v>
      </c>
      <c r="AU49" s="241">
        <v>0</v>
      </c>
      <c r="AV49" s="241">
        <v>0</v>
      </c>
      <c r="AW49" s="241">
        <v>0</v>
      </c>
      <c r="AX49" s="241">
        <v>0</v>
      </c>
      <c r="AY49" s="241">
        <v>0</v>
      </c>
      <c r="AZ49" s="241">
        <v>0</v>
      </c>
      <c r="BA49" s="241">
        <v>0</v>
      </c>
      <c r="BB49" s="241">
        <v>0</v>
      </c>
      <c r="BC49" s="229"/>
    </row>
    <row r="50" spans="1:55" ht="18.75" hidden="1">
      <c r="A50" s="45" t="s">
        <v>106</v>
      </c>
      <c r="B50" s="166" t="s">
        <v>107</v>
      </c>
      <c r="C50" s="161"/>
      <c r="D50" s="229"/>
      <c r="E50" s="241">
        <v>0</v>
      </c>
      <c r="F50" s="241">
        <v>0</v>
      </c>
      <c r="G50" s="241">
        <v>0</v>
      </c>
      <c r="H50" s="241">
        <v>0</v>
      </c>
      <c r="I50" s="241">
        <v>0</v>
      </c>
      <c r="J50" s="241">
        <v>0</v>
      </c>
      <c r="K50" s="241">
        <v>0</v>
      </c>
      <c r="L50" s="241">
        <v>0</v>
      </c>
      <c r="M50" s="241">
        <v>0</v>
      </c>
      <c r="N50" s="241">
        <v>0</v>
      </c>
      <c r="O50" s="241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1">
        <v>0</v>
      </c>
      <c r="V50" s="241">
        <v>0</v>
      </c>
      <c r="W50" s="241">
        <v>0</v>
      </c>
      <c r="X50" s="241">
        <v>0</v>
      </c>
      <c r="Y50" s="241">
        <v>0</v>
      </c>
      <c r="Z50" s="241">
        <v>0</v>
      </c>
      <c r="AA50" s="241">
        <v>0</v>
      </c>
      <c r="AB50" s="241">
        <v>0</v>
      </c>
      <c r="AC50" s="241">
        <v>0</v>
      </c>
      <c r="AD50" s="241">
        <v>0</v>
      </c>
      <c r="AE50" s="241">
        <v>0</v>
      </c>
      <c r="AF50" s="241">
        <v>0</v>
      </c>
      <c r="AG50" s="241">
        <v>0</v>
      </c>
      <c r="AH50" s="241">
        <v>0</v>
      </c>
      <c r="AI50" s="241">
        <v>0</v>
      </c>
      <c r="AJ50" s="241">
        <v>0</v>
      </c>
      <c r="AK50" s="241">
        <v>0</v>
      </c>
      <c r="AL50" s="241">
        <v>0</v>
      </c>
      <c r="AM50" s="241">
        <v>0</v>
      </c>
      <c r="AN50" s="241">
        <v>0</v>
      </c>
      <c r="AO50" s="241">
        <v>0</v>
      </c>
      <c r="AP50" s="241">
        <v>0</v>
      </c>
      <c r="AQ50" s="241">
        <v>0</v>
      </c>
      <c r="AR50" s="241">
        <v>0</v>
      </c>
      <c r="AS50" s="241">
        <v>0</v>
      </c>
      <c r="AT50" s="241">
        <v>0</v>
      </c>
      <c r="AU50" s="241">
        <v>0</v>
      </c>
      <c r="AV50" s="241">
        <v>0</v>
      </c>
      <c r="AW50" s="241">
        <v>0</v>
      </c>
      <c r="AX50" s="241">
        <v>0</v>
      </c>
      <c r="AY50" s="241">
        <v>0</v>
      </c>
      <c r="AZ50" s="241">
        <v>0</v>
      </c>
      <c r="BA50" s="241">
        <v>0</v>
      </c>
      <c r="BB50" s="241">
        <v>0</v>
      </c>
      <c r="BC50" s="229"/>
    </row>
    <row r="51" spans="1:55" ht="18.75">
      <c r="A51" s="65" t="s">
        <v>124</v>
      </c>
      <c r="B51" s="163" t="s">
        <v>125</v>
      </c>
      <c r="C51" s="161"/>
      <c r="D51" s="229"/>
      <c r="E51" s="241">
        <f aca="true" t="shared" si="8" ref="E51:AJ51">E52+E53+E54+E59</f>
        <v>0</v>
      </c>
      <c r="F51" s="241">
        <f t="shared" si="8"/>
        <v>0</v>
      </c>
      <c r="G51" s="241">
        <f t="shared" si="8"/>
        <v>0</v>
      </c>
      <c r="H51" s="241">
        <f t="shared" si="8"/>
        <v>0</v>
      </c>
      <c r="I51" s="241">
        <f t="shared" si="8"/>
        <v>0</v>
      </c>
      <c r="J51" s="241">
        <f t="shared" si="8"/>
        <v>0</v>
      </c>
      <c r="K51" s="241">
        <f t="shared" si="8"/>
        <v>0</v>
      </c>
      <c r="L51" s="241">
        <f t="shared" si="8"/>
        <v>0</v>
      </c>
      <c r="M51" s="241">
        <f t="shared" si="8"/>
        <v>0</v>
      </c>
      <c r="N51" s="241">
        <f t="shared" si="8"/>
        <v>0</v>
      </c>
      <c r="O51" s="241">
        <f t="shared" si="8"/>
        <v>0</v>
      </c>
      <c r="P51" s="241">
        <f t="shared" si="8"/>
        <v>0</v>
      </c>
      <c r="Q51" s="241">
        <f t="shared" si="8"/>
        <v>0</v>
      </c>
      <c r="R51" s="241">
        <f t="shared" si="8"/>
        <v>0</v>
      </c>
      <c r="S51" s="241">
        <f t="shared" si="8"/>
        <v>0</v>
      </c>
      <c r="T51" s="241">
        <f t="shared" si="8"/>
        <v>0</v>
      </c>
      <c r="U51" s="241">
        <f t="shared" si="8"/>
        <v>0</v>
      </c>
      <c r="V51" s="241">
        <f t="shared" si="8"/>
        <v>0</v>
      </c>
      <c r="W51" s="241">
        <f t="shared" si="8"/>
        <v>0</v>
      </c>
      <c r="X51" s="241">
        <f t="shared" si="8"/>
        <v>0</v>
      </c>
      <c r="Y51" s="241">
        <f t="shared" si="8"/>
        <v>0</v>
      </c>
      <c r="Z51" s="241">
        <f t="shared" si="8"/>
        <v>0</v>
      </c>
      <c r="AA51" s="241">
        <f t="shared" si="8"/>
        <v>0</v>
      </c>
      <c r="AB51" s="241">
        <f t="shared" si="8"/>
        <v>0</v>
      </c>
      <c r="AC51" s="241">
        <f t="shared" si="8"/>
        <v>0</v>
      </c>
      <c r="AD51" s="241">
        <f t="shared" si="8"/>
        <v>0</v>
      </c>
      <c r="AE51" s="241">
        <f t="shared" si="8"/>
        <v>0</v>
      </c>
      <c r="AF51" s="241">
        <f t="shared" si="8"/>
        <v>0</v>
      </c>
      <c r="AG51" s="241">
        <f t="shared" si="8"/>
        <v>0</v>
      </c>
      <c r="AH51" s="241">
        <f t="shared" si="8"/>
        <v>0</v>
      </c>
      <c r="AI51" s="241">
        <f t="shared" si="8"/>
        <v>0</v>
      </c>
      <c r="AJ51" s="241">
        <f t="shared" si="8"/>
        <v>0</v>
      </c>
      <c r="AK51" s="241">
        <f aca="true" t="shared" si="9" ref="AK51:BB51">AK52+AK53+AK54+AK59</f>
        <v>0</v>
      </c>
      <c r="AL51" s="241">
        <f t="shared" si="9"/>
        <v>0</v>
      </c>
      <c r="AM51" s="241">
        <f t="shared" si="9"/>
        <v>0</v>
      </c>
      <c r="AN51" s="241">
        <f t="shared" si="9"/>
        <v>0</v>
      </c>
      <c r="AO51" s="241">
        <f t="shared" si="9"/>
        <v>0</v>
      </c>
      <c r="AP51" s="241">
        <f t="shared" si="9"/>
        <v>0</v>
      </c>
      <c r="AQ51" s="241">
        <f t="shared" si="9"/>
        <v>0</v>
      </c>
      <c r="AR51" s="241">
        <f t="shared" si="9"/>
        <v>0</v>
      </c>
      <c r="AS51" s="241">
        <f t="shared" si="9"/>
        <v>0</v>
      </c>
      <c r="AT51" s="241">
        <f t="shared" si="9"/>
        <v>0</v>
      </c>
      <c r="AU51" s="241">
        <f t="shared" si="9"/>
        <v>0</v>
      </c>
      <c r="AV51" s="241">
        <f t="shared" si="9"/>
        <v>0</v>
      </c>
      <c r="AW51" s="241">
        <f t="shared" si="9"/>
        <v>0</v>
      </c>
      <c r="AX51" s="241">
        <f t="shared" si="9"/>
        <v>0</v>
      </c>
      <c r="AY51" s="241">
        <f t="shared" si="9"/>
        <v>0</v>
      </c>
      <c r="AZ51" s="241">
        <f t="shared" si="9"/>
        <v>0</v>
      </c>
      <c r="BA51" s="241">
        <f t="shared" si="9"/>
        <v>0</v>
      </c>
      <c r="BB51" s="241">
        <f t="shared" si="9"/>
        <v>0</v>
      </c>
      <c r="BC51" s="229"/>
    </row>
    <row r="52" spans="1:55" ht="18.75">
      <c r="A52" s="65" t="s">
        <v>124</v>
      </c>
      <c r="B52" s="166" t="s">
        <v>127</v>
      </c>
      <c r="C52" s="161"/>
      <c r="D52" s="229"/>
      <c r="E52" s="138">
        <f aca="true" t="shared" si="10" ref="E52:E59">J52+O52+T52+Y52</f>
        <v>0</v>
      </c>
      <c r="F52" s="138">
        <f aca="true" t="shared" si="11" ref="F52:F59">K52+P52+U52+Z52</f>
        <v>0</v>
      </c>
      <c r="G52" s="138">
        <f aca="true" t="shared" si="12" ref="G52:G59">L52+Q52+V52+AA52</f>
        <v>0</v>
      </c>
      <c r="H52" s="138">
        <f aca="true" t="shared" si="13" ref="H52:H59">M52+R52+W52+AB52</f>
        <v>0</v>
      </c>
      <c r="I52" s="138">
        <f aca="true" t="shared" si="14" ref="I52:I59">N52+S52+X52+AC52</f>
        <v>0</v>
      </c>
      <c r="J52" s="241">
        <v>0</v>
      </c>
      <c r="K52" s="241">
        <v>0</v>
      </c>
      <c r="L52" s="241">
        <v>0</v>
      </c>
      <c r="M52" s="241">
        <v>0</v>
      </c>
      <c r="N52" s="241">
        <v>0</v>
      </c>
      <c r="O52" s="241">
        <v>0</v>
      </c>
      <c r="P52" s="241">
        <v>0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41">
        <v>0</v>
      </c>
      <c r="Y52" s="241">
        <v>0</v>
      </c>
      <c r="Z52" s="241">
        <v>0</v>
      </c>
      <c r="AA52" s="241">
        <v>0</v>
      </c>
      <c r="AB52" s="241">
        <v>0</v>
      </c>
      <c r="AC52" s="241">
        <v>0</v>
      </c>
      <c r="AD52" s="138">
        <f aca="true" t="shared" si="15" ref="AD52:AD59">AI52+AN52+AS52+AX52</f>
        <v>0</v>
      </c>
      <c r="AE52" s="138">
        <f aca="true" t="shared" si="16" ref="AE52:AE59">AJ52+AO52+AT52+AY52</f>
        <v>0</v>
      </c>
      <c r="AF52" s="138">
        <f aca="true" t="shared" si="17" ref="AF52:AF59">AK52+AP52+AU52+AZ52</f>
        <v>0</v>
      </c>
      <c r="AG52" s="138">
        <f aca="true" t="shared" si="18" ref="AG52:AG59">AL52+AQ52+AV52+BA52</f>
        <v>0</v>
      </c>
      <c r="AH52" s="138">
        <f aca="true" t="shared" si="19" ref="AH52:AH59">AM52+AR52+AW52+BB52</f>
        <v>0</v>
      </c>
      <c r="AI52" s="241">
        <v>0</v>
      </c>
      <c r="AJ52" s="241">
        <v>0</v>
      </c>
      <c r="AK52" s="241">
        <v>0</v>
      </c>
      <c r="AL52" s="241">
        <v>0</v>
      </c>
      <c r="AM52" s="241">
        <v>0</v>
      </c>
      <c r="AN52" s="241">
        <v>0</v>
      </c>
      <c r="AO52" s="241">
        <v>0</v>
      </c>
      <c r="AP52" s="241">
        <v>0</v>
      </c>
      <c r="AQ52" s="241">
        <v>0</v>
      </c>
      <c r="AR52" s="241">
        <v>0</v>
      </c>
      <c r="AS52" s="241">
        <v>0</v>
      </c>
      <c r="AT52" s="241">
        <v>0</v>
      </c>
      <c r="AU52" s="241">
        <v>0</v>
      </c>
      <c r="AV52" s="241">
        <v>0</v>
      </c>
      <c r="AW52" s="241">
        <v>0</v>
      </c>
      <c r="AX52" s="241">
        <v>0</v>
      </c>
      <c r="AY52" s="241">
        <v>0</v>
      </c>
      <c r="AZ52" s="241">
        <v>0</v>
      </c>
      <c r="BA52" s="241">
        <v>0</v>
      </c>
      <c r="BB52" s="241">
        <v>0</v>
      </c>
      <c r="BC52" s="229"/>
    </row>
    <row r="53" spans="1:55" ht="18.75">
      <c r="A53" s="65" t="s">
        <v>124</v>
      </c>
      <c r="B53" s="166" t="s">
        <v>130</v>
      </c>
      <c r="C53" s="161"/>
      <c r="D53" s="229"/>
      <c r="E53" s="138">
        <f t="shared" si="10"/>
        <v>0</v>
      </c>
      <c r="F53" s="138">
        <f t="shared" si="11"/>
        <v>0</v>
      </c>
      <c r="G53" s="138">
        <f t="shared" si="12"/>
        <v>0</v>
      </c>
      <c r="H53" s="138">
        <f t="shared" si="13"/>
        <v>0</v>
      </c>
      <c r="I53" s="138">
        <f t="shared" si="14"/>
        <v>0</v>
      </c>
      <c r="J53" s="241">
        <v>0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41">
        <v>0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41">
        <v>0</v>
      </c>
      <c r="Y53" s="241">
        <v>0</v>
      </c>
      <c r="Z53" s="241">
        <v>0</v>
      </c>
      <c r="AA53" s="241">
        <v>0</v>
      </c>
      <c r="AB53" s="241">
        <v>0</v>
      </c>
      <c r="AC53" s="241">
        <v>0</v>
      </c>
      <c r="AD53" s="138">
        <f t="shared" si="15"/>
        <v>0</v>
      </c>
      <c r="AE53" s="138">
        <f t="shared" si="16"/>
        <v>0</v>
      </c>
      <c r="AF53" s="138">
        <f t="shared" si="17"/>
        <v>0</v>
      </c>
      <c r="AG53" s="138">
        <f t="shared" si="18"/>
        <v>0</v>
      </c>
      <c r="AH53" s="138">
        <f t="shared" si="19"/>
        <v>0</v>
      </c>
      <c r="AI53" s="241">
        <v>0</v>
      </c>
      <c r="AJ53" s="241">
        <v>0</v>
      </c>
      <c r="AK53" s="241">
        <v>0</v>
      </c>
      <c r="AL53" s="241">
        <v>0</v>
      </c>
      <c r="AM53" s="241">
        <v>0</v>
      </c>
      <c r="AN53" s="241">
        <v>0</v>
      </c>
      <c r="AO53" s="241">
        <v>0</v>
      </c>
      <c r="AP53" s="241">
        <v>0</v>
      </c>
      <c r="AQ53" s="241">
        <v>0</v>
      </c>
      <c r="AR53" s="241">
        <v>0</v>
      </c>
      <c r="AS53" s="241">
        <v>0</v>
      </c>
      <c r="AT53" s="241">
        <v>0</v>
      </c>
      <c r="AU53" s="241">
        <v>0</v>
      </c>
      <c r="AV53" s="241">
        <v>0</v>
      </c>
      <c r="AW53" s="241">
        <v>0</v>
      </c>
      <c r="AX53" s="241">
        <v>0</v>
      </c>
      <c r="AY53" s="241">
        <v>0</v>
      </c>
      <c r="AZ53" s="241">
        <v>0</v>
      </c>
      <c r="BA53" s="241">
        <v>0</v>
      </c>
      <c r="BB53" s="241">
        <v>0</v>
      </c>
      <c r="BC53" s="229"/>
    </row>
    <row r="54" spans="1:55" ht="18.75">
      <c r="A54" s="259" t="s">
        <v>124</v>
      </c>
      <c r="B54" s="260" t="s">
        <v>132</v>
      </c>
      <c r="C54" s="261"/>
      <c r="D54" s="262"/>
      <c r="E54" s="138">
        <f t="shared" si="10"/>
        <v>0</v>
      </c>
      <c r="F54" s="138">
        <f t="shared" si="11"/>
        <v>0</v>
      </c>
      <c r="G54" s="138">
        <f t="shared" si="12"/>
        <v>0</v>
      </c>
      <c r="H54" s="138">
        <f t="shared" si="13"/>
        <v>0</v>
      </c>
      <c r="I54" s="138">
        <f t="shared" si="14"/>
        <v>0</v>
      </c>
      <c r="J54" s="263">
        <v>0</v>
      </c>
      <c r="K54" s="263">
        <v>0</v>
      </c>
      <c r="L54" s="263">
        <v>0</v>
      </c>
      <c r="M54" s="263">
        <v>0</v>
      </c>
      <c r="N54" s="263">
        <v>0</v>
      </c>
      <c r="O54" s="263">
        <v>0</v>
      </c>
      <c r="P54" s="263">
        <v>0</v>
      </c>
      <c r="Q54" s="263">
        <v>0</v>
      </c>
      <c r="R54" s="263">
        <v>0</v>
      </c>
      <c r="S54" s="263">
        <v>0</v>
      </c>
      <c r="T54" s="263">
        <v>0</v>
      </c>
      <c r="U54" s="263">
        <v>0</v>
      </c>
      <c r="V54" s="263">
        <v>0</v>
      </c>
      <c r="W54" s="263">
        <v>0</v>
      </c>
      <c r="X54" s="263">
        <v>0</v>
      </c>
      <c r="Y54" s="263">
        <v>0</v>
      </c>
      <c r="Z54" s="263">
        <v>0</v>
      </c>
      <c r="AA54" s="263">
        <v>0</v>
      </c>
      <c r="AB54" s="263">
        <v>0</v>
      </c>
      <c r="AC54" s="263">
        <v>0</v>
      </c>
      <c r="AD54" s="138">
        <f t="shared" si="15"/>
        <v>0</v>
      </c>
      <c r="AE54" s="138">
        <f t="shared" si="16"/>
        <v>0</v>
      </c>
      <c r="AF54" s="138">
        <f t="shared" si="17"/>
        <v>0</v>
      </c>
      <c r="AG54" s="138">
        <f t="shared" si="18"/>
        <v>0</v>
      </c>
      <c r="AH54" s="138">
        <f t="shared" si="19"/>
        <v>0</v>
      </c>
      <c r="AI54" s="263">
        <v>0</v>
      </c>
      <c r="AJ54" s="263">
        <v>0</v>
      </c>
      <c r="AK54" s="263">
        <v>0</v>
      </c>
      <c r="AL54" s="263">
        <v>0</v>
      </c>
      <c r="AM54" s="263">
        <v>0</v>
      </c>
      <c r="AN54" s="263">
        <v>0</v>
      </c>
      <c r="AO54" s="263">
        <v>0</v>
      </c>
      <c r="AP54" s="263">
        <v>0</v>
      </c>
      <c r="AQ54" s="263">
        <v>0</v>
      </c>
      <c r="AR54" s="263">
        <v>0</v>
      </c>
      <c r="AS54" s="263">
        <v>0</v>
      </c>
      <c r="AT54" s="263">
        <v>0</v>
      </c>
      <c r="AU54" s="263">
        <v>0</v>
      </c>
      <c r="AV54" s="263">
        <v>0</v>
      </c>
      <c r="AW54" s="263">
        <v>0</v>
      </c>
      <c r="AX54" s="263">
        <v>0</v>
      </c>
      <c r="AY54" s="263">
        <v>0</v>
      </c>
      <c r="AZ54" s="263">
        <v>0</v>
      </c>
      <c r="BA54" s="263">
        <v>0</v>
      </c>
      <c r="BB54" s="263">
        <v>0</v>
      </c>
      <c r="BC54" s="262"/>
    </row>
    <row r="55" spans="1:55" ht="18.75" hidden="1">
      <c r="A55" s="65" t="s">
        <v>124</v>
      </c>
      <c r="B55" s="166" t="s">
        <v>135</v>
      </c>
      <c r="C55" s="161"/>
      <c r="D55" s="229"/>
      <c r="E55" s="138">
        <f t="shared" si="10"/>
        <v>0</v>
      </c>
      <c r="F55" s="138">
        <f t="shared" si="11"/>
        <v>0</v>
      </c>
      <c r="G55" s="138">
        <f t="shared" si="12"/>
        <v>0</v>
      </c>
      <c r="H55" s="138">
        <f t="shared" si="13"/>
        <v>0</v>
      </c>
      <c r="I55" s="138">
        <f t="shared" si="14"/>
        <v>0</v>
      </c>
      <c r="J55" s="241">
        <v>0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41">
        <v>0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41">
        <v>0</v>
      </c>
      <c r="Y55" s="241">
        <v>0</v>
      </c>
      <c r="Z55" s="241">
        <v>0</v>
      </c>
      <c r="AA55" s="241">
        <v>0</v>
      </c>
      <c r="AB55" s="241">
        <v>0</v>
      </c>
      <c r="AC55" s="241">
        <v>0</v>
      </c>
      <c r="AD55" s="138">
        <f t="shared" si="15"/>
        <v>0</v>
      </c>
      <c r="AE55" s="138">
        <f t="shared" si="16"/>
        <v>0</v>
      </c>
      <c r="AF55" s="138">
        <f t="shared" si="17"/>
        <v>0</v>
      </c>
      <c r="AG55" s="138">
        <f t="shared" si="18"/>
        <v>0</v>
      </c>
      <c r="AH55" s="138">
        <f t="shared" si="19"/>
        <v>0</v>
      </c>
      <c r="AI55" s="241">
        <v>0</v>
      </c>
      <c r="AJ55" s="241">
        <v>0</v>
      </c>
      <c r="AK55" s="241">
        <v>0</v>
      </c>
      <c r="AL55" s="241">
        <v>0</v>
      </c>
      <c r="AM55" s="241">
        <v>0</v>
      </c>
      <c r="AN55" s="241">
        <v>0</v>
      </c>
      <c r="AO55" s="241">
        <v>0</v>
      </c>
      <c r="AP55" s="241">
        <v>0</v>
      </c>
      <c r="AQ55" s="241">
        <v>0</v>
      </c>
      <c r="AR55" s="241">
        <v>0</v>
      </c>
      <c r="AS55" s="241">
        <v>0</v>
      </c>
      <c r="AT55" s="241">
        <v>0</v>
      </c>
      <c r="AU55" s="241">
        <v>0</v>
      </c>
      <c r="AV55" s="241">
        <v>0</v>
      </c>
      <c r="AW55" s="241">
        <v>0</v>
      </c>
      <c r="AX55" s="241">
        <v>0</v>
      </c>
      <c r="AY55" s="241">
        <v>0</v>
      </c>
      <c r="AZ55" s="241">
        <v>0</v>
      </c>
      <c r="BA55" s="241">
        <v>0</v>
      </c>
      <c r="BB55" s="241">
        <v>0</v>
      </c>
      <c r="BC55" s="229"/>
    </row>
    <row r="56" spans="1:55" ht="37.5" hidden="1">
      <c r="A56" s="65" t="s">
        <v>124</v>
      </c>
      <c r="B56" s="172" t="s">
        <v>137</v>
      </c>
      <c r="C56" s="161"/>
      <c r="D56" s="229"/>
      <c r="E56" s="138">
        <f t="shared" si="10"/>
        <v>0</v>
      </c>
      <c r="F56" s="138">
        <f t="shared" si="11"/>
        <v>0</v>
      </c>
      <c r="G56" s="138">
        <f t="shared" si="12"/>
        <v>0</v>
      </c>
      <c r="H56" s="138">
        <f t="shared" si="13"/>
        <v>0</v>
      </c>
      <c r="I56" s="138">
        <f t="shared" si="14"/>
        <v>0</v>
      </c>
      <c r="J56" s="241">
        <v>0</v>
      </c>
      <c r="K56" s="241">
        <v>0</v>
      </c>
      <c r="L56" s="241">
        <v>0</v>
      </c>
      <c r="M56" s="241">
        <v>0</v>
      </c>
      <c r="N56" s="241">
        <v>0</v>
      </c>
      <c r="O56" s="241">
        <v>0</v>
      </c>
      <c r="P56" s="241">
        <v>0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41">
        <v>0</v>
      </c>
      <c r="Y56" s="241">
        <v>0</v>
      </c>
      <c r="Z56" s="241">
        <v>0</v>
      </c>
      <c r="AA56" s="241">
        <v>0</v>
      </c>
      <c r="AB56" s="241">
        <v>0</v>
      </c>
      <c r="AC56" s="241">
        <v>0</v>
      </c>
      <c r="AD56" s="138">
        <f t="shared" si="15"/>
        <v>0</v>
      </c>
      <c r="AE56" s="138">
        <f t="shared" si="16"/>
        <v>0</v>
      </c>
      <c r="AF56" s="138">
        <f t="shared" si="17"/>
        <v>0</v>
      </c>
      <c r="AG56" s="138">
        <f t="shared" si="18"/>
        <v>0</v>
      </c>
      <c r="AH56" s="138">
        <f t="shared" si="19"/>
        <v>0</v>
      </c>
      <c r="AI56" s="241">
        <v>0</v>
      </c>
      <c r="AJ56" s="241">
        <v>0</v>
      </c>
      <c r="AK56" s="241">
        <v>0</v>
      </c>
      <c r="AL56" s="241">
        <v>0</v>
      </c>
      <c r="AM56" s="241">
        <v>0</v>
      </c>
      <c r="AN56" s="241">
        <v>0</v>
      </c>
      <c r="AO56" s="241">
        <v>0</v>
      </c>
      <c r="AP56" s="241">
        <v>0</v>
      </c>
      <c r="AQ56" s="241">
        <v>0</v>
      </c>
      <c r="AR56" s="241">
        <v>0</v>
      </c>
      <c r="AS56" s="241">
        <v>0</v>
      </c>
      <c r="AT56" s="241">
        <v>0</v>
      </c>
      <c r="AU56" s="241">
        <v>0</v>
      </c>
      <c r="AV56" s="241">
        <v>0</v>
      </c>
      <c r="AW56" s="241">
        <v>0</v>
      </c>
      <c r="AX56" s="241">
        <v>0</v>
      </c>
      <c r="AY56" s="241">
        <v>0</v>
      </c>
      <c r="AZ56" s="241">
        <v>0</v>
      </c>
      <c r="BA56" s="241">
        <v>0</v>
      </c>
      <c r="BB56" s="241">
        <v>0</v>
      </c>
      <c r="BC56" s="229"/>
    </row>
    <row r="57" spans="1:55" ht="18.75" hidden="1">
      <c r="A57" s="65" t="s">
        <v>124</v>
      </c>
      <c r="B57" s="264" t="s">
        <v>139</v>
      </c>
      <c r="C57" s="161"/>
      <c r="D57" s="229"/>
      <c r="E57" s="138">
        <f t="shared" si="10"/>
        <v>0</v>
      </c>
      <c r="F57" s="138">
        <f t="shared" si="11"/>
        <v>0</v>
      </c>
      <c r="G57" s="138">
        <f t="shared" si="12"/>
        <v>0</v>
      </c>
      <c r="H57" s="138">
        <f t="shared" si="13"/>
        <v>0</v>
      </c>
      <c r="I57" s="138">
        <f t="shared" si="14"/>
        <v>0</v>
      </c>
      <c r="J57" s="241">
        <v>0</v>
      </c>
      <c r="K57" s="241">
        <v>0</v>
      </c>
      <c r="L57" s="241">
        <v>0</v>
      </c>
      <c r="M57" s="241">
        <v>0</v>
      </c>
      <c r="N57" s="241">
        <v>0</v>
      </c>
      <c r="O57" s="241">
        <v>0</v>
      </c>
      <c r="P57" s="241">
        <v>0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41">
        <v>0</v>
      </c>
      <c r="Y57" s="241">
        <v>0</v>
      </c>
      <c r="Z57" s="241">
        <v>0</v>
      </c>
      <c r="AA57" s="241">
        <v>0</v>
      </c>
      <c r="AB57" s="241">
        <v>0</v>
      </c>
      <c r="AC57" s="241">
        <v>0</v>
      </c>
      <c r="AD57" s="138">
        <f t="shared" si="15"/>
        <v>0</v>
      </c>
      <c r="AE57" s="138">
        <f t="shared" si="16"/>
        <v>0</v>
      </c>
      <c r="AF57" s="138">
        <f t="shared" si="17"/>
        <v>0</v>
      </c>
      <c r="AG57" s="138">
        <f t="shared" si="18"/>
        <v>0</v>
      </c>
      <c r="AH57" s="138">
        <f t="shared" si="19"/>
        <v>0</v>
      </c>
      <c r="AI57" s="241">
        <v>0</v>
      </c>
      <c r="AJ57" s="241">
        <v>0</v>
      </c>
      <c r="AK57" s="241">
        <v>0</v>
      </c>
      <c r="AL57" s="241">
        <v>0</v>
      </c>
      <c r="AM57" s="241">
        <v>0</v>
      </c>
      <c r="AN57" s="241">
        <v>0</v>
      </c>
      <c r="AO57" s="241">
        <v>0</v>
      </c>
      <c r="AP57" s="241">
        <v>0</v>
      </c>
      <c r="AQ57" s="241">
        <v>0</v>
      </c>
      <c r="AR57" s="241">
        <v>0</v>
      </c>
      <c r="AS57" s="241">
        <v>0</v>
      </c>
      <c r="AT57" s="241">
        <v>0</v>
      </c>
      <c r="AU57" s="241">
        <v>0</v>
      </c>
      <c r="AV57" s="241">
        <v>0</v>
      </c>
      <c r="AW57" s="241">
        <v>0</v>
      </c>
      <c r="AX57" s="241">
        <v>0</v>
      </c>
      <c r="AY57" s="241">
        <v>0</v>
      </c>
      <c r="AZ57" s="241">
        <v>0</v>
      </c>
      <c r="BA57" s="241">
        <v>0</v>
      </c>
      <c r="BB57" s="241">
        <v>0</v>
      </c>
      <c r="BC57" s="229"/>
    </row>
    <row r="58" spans="1:55" ht="37.5" hidden="1">
      <c r="A58" s="65" t="s">
        <v>124</v>
      </c>
      <c r="B58" s="264" t="s">
        <v>141</v>
      </c>
      <c r="C58" s="161"/>
      <c r="D58" s="229"/>
      <c r="E58" s="138">
        <f t="shared" si="10"/>
        <v>0</v>
      </c>
      <c r="F58" s="138">
        <f t="shared" si="11"/>
        <v>0</v>
      </c>
      <c r="G58" s="138">
        <f t="shared" si="12"/>
        <v>0</v>
      </c>
      <c r="H58" s="138">
        <f t="shared" si="13"/>
        <v>0</v>
      </c>
      <c r="I58" s="138">
        <f t="shared" si="14"/>
        <v>0</v>
      </c>
      <c r="J58" s="241">
        <v>0</v>
      </c>
      <c r="K58" s="241">
        <v>0</v>
      </c>
      <c r="L58" s="241">
        <v>0</v>
      </c>
      <c r="M58" s="241">
        <v>0</v>
      </c>
      <c r="N58" s="241">
        <v>0</v>
      </c>
      <c r="O58" s="241">
        <v>0</v>
      </c>
      <c r="P58" s="241">
        <v>0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41">
        <v>0</v>
      </c>
      <c r="Y58" s="241">
        <v>0</v>
      </c>
      <c r="Z58" s="241">
        <v>0</v>
      </c>
      <c r="AA58" s="241">
        <v>0</v>
      </c>
      <c r="AB58" s="241">
        <v>0</v>
      </c>
      <c r="AC58" s="241">
        <v>0</v>
      </c>
      <c r="AD58" s="138">
        <f t="shared" si="15"/>
        <v>0</v>
      </c>
      <c r="AE58" s="138">
        <f t="shared" si="16"/>
        <v>0</v>
      </c>
      <c r="AF58" s="138">
        <f t="shared" si="17"/>
        <v>0</v>
      </c>
      <c r="AG58" s="138">
        <f t="shared" si="18"/>
        <v>0</v>
      </c>
      <c r="AH58" s="138">
        <f t="shared" si="19"/>
        <v>0</v>
      </c>
      <c r="AI58" s="241">
        <v>0</v>
      </c>
      <c r="AJ58" s="241">
        <v>0</v>
      </c>
      <c r="AK58" s="241">
        <v>0</v>
      </c>
      <c r="AL58" s="241">
        <v>0</v>
      </c>
      <c r="AM58" s="241">
        <v>0</v>
      </c>
      <c r="AN58" s="241">
        <v>0</v>
      </c>
      <c r="AO58" s="241">
        <v>0</v>
      </c>
      <c r="AP58" s="241">
        <v>0</v>
      </c>
      <c r="AQ58" s="241">
        <v>0</v>
      </c>
      <c r="AR58" s="241">
        <v>0</v>
      </c>
      <c r="AS58" s="241">
        <v>0</v>
      </c>
      <c r="AT58" s="241">
        <v>0</v>
      </c>
      <c r="AU58" s="241">
        <v>0</v>
      </c>
      <c r="AV58" s="241">
        <v>0</v>
      </c>
      <c r="AW58" s="241">
        <v>0</v>
      </c>
      <c r="AX58" s="241">
        <v>0</v>
      </c>
      <c r="AY58" s="241">
        <v>0</v>
      </c>
      <c r="AZ58" s="241">
        <v>0</v>
      </c>
      <c r="BA58" s="241">
        <v>0</v>
      </c>
      <c r="BB58" s="241">
        <v>0</v>
      </c>
      <c r="BC58" s="229"/>
    </row>
    <row r="59" spans="1:55" ht="18.75" hidden="1">
      <c r="A59" s="65" t="s">
        <v>124</v>
      </c>
      <c r="B59" s="264" t="s">
        <v>143</v>
      </c>
      <c r="C59" s="161"/>
      <c r="D59" s="229"/>
      <c r="E59" s="138">
        <f t="shared" si="10"/>
        <v>0</v>
      </c>
      <c r="F59" s="138">
        <f t="shared" si="11"/>
        <v>0</v>
      </c>
      <c r="G59" s="138">
        <f t="shared" si="12"/>
        <v>0</v>
      </c>
      <c r="H59" s="138">
        <f t="shared" si="13"/>
        <v>0</v>
      </c>
      <c r="I59" s="138">
        <f t="shared" si="14"/>
        <v>0</v>
      </c>
      <c r="J59" s="241">
        <v>0</v>
      </c>
      <c r="K59" s="241">
        <v>0</v>
      </c>
      <c r="L59" s="241">
        <v>0</v>
      </c>
      <c r="M59" s="241">
        <v>0</v>
      </c>
      <c r="N59" s="241">
        <v>0</v>
      </c>
      <c r="O59" s="241">
        <v>0</v>
      </c>
      <c r="P59" s="241">
        <v>0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41">
        <v>0</v>
      </c>
      <c r="Y59" s="241">
        <v>0</v>
      </c>
      <c r="Z59" s="241">
        <v>0</v>
      </c>
      <c r="AA59" s="241">
        <v>0</v>
      </c>
      <c r="AB59" s="241">
        <v>0</v>
      </c>
      <c r="AC59" s="241">
        <v>0</v>
      </c>
      <c r="AD59" s="138">
        <f t="shared" si="15"/>
        <v>0</v>
      </c>
      <c r="AE59" s="138">
        <f t="shared" si="16"/>
        <v>0</v>
      </c>
      <c r="AF59" s="138">
        <f t="shared" si="17"/>
        <v>0</v>
      </c>
      <c r="AG59" s="138">
        <f t="shared" si="18"/>
        <v>0</v>
      </c>
      <c r="AH59" s="138">
        <f t="shared" si="19"/>
        <v>0</v>
      </c>
      <c r="AI59" s="241">
        <v>0</v>
      </c>
      <c r="AJ59" s="241">
        <v>0</v>
      </c>
      <c r="AK59" s="241">
        <v>0</v>
      </c>
      <c r="AL59" s="241">
        <v>0</v>
      </c>
      <c r="AM59" s="241">
        <v>0</v>
      </c>
      <c r="AN59" s="241">
        <v>0</v>
      </c>
      <c r="AO59" s="241">
        <v>0</v>
      </c>
      <c r="AP59" s="241">
        <v>0</v>
      </c>
      <c r="AQ59" s="241">
        <v>0</v>
      </c>
      <c r="AR59" s="241">
        <v>0</v>
      </c>
      <c r="AS59" s="241">
        <v>0</v>
      </c>
      <c r="AT59" s="241">
        <v>0</v>
      </c>
      <c r="AU59" s="241">
        <v>0</v>
      </c>
      <c r="AV59" s="241">
        <v>0</v>
      </c>
      <c r="AW59" s="241">
        <v>0</v>
      </c>
      <c r="AX59" s="241">
        <v>0</v>
      </c>
      <c r="AY59" s="241">
        <v>0</v>
      </c>
      <c r="AZ59" s="241">
        <v>0</v>
      </c>
      <c r="BA59" s="241">
        <v>0</v>
      </c>
      <c r="BB59" s="241">
        <v>0</v>
      </c>
      <c r="BC59" s="229"/>
    </row>
  </sheetData>
  <sheetProtection selectLockedCells="1" selectUnlockedCells="1"/>
  <mergeCells count="26">
    <mergeCell ref="BC16:BC20"/>
    <mergeCell ref="E18:AC18"/>
    <mergeCell ref="AD18:BB18"/>
    <mergeCell ref="E19:I19"/>
    <mergeCell ref="J19:N19"/>
    <mergeCell ref="AI19:AM19"/>
    <mergeCell ref="AN19:AR19"/>
    <mergeCell ref="AS19:AW19"/>
    <mergeCell ref="AX19:BB19"/>
    <mergeCell ref="O19:S19"/>
    <mergeCell ref="T19:X19"/>
    <mergeCell ref="Y19:AC19"/>
    <mergeCell ref="AD19:AH19"/>
    <mergeCell ref="A16:A20"/>
    <mergeCell ref="B16:B20"/>
    <mergeCell ref="C16:C20"/>
    <mergeCell ref="D16:D20"/>
    <mergeCell ref="E16:BB17"/>
    <mergeCell ref="A4:BC4"/>
    <mergeCell ref="A6:BC6"/>
    <mergeCell ref="A7:BC7"/>
    <mergeCell ref="A9:BC9"/>
    <mergeCell ref="A10:W10"/>
    <mergeCell ref="A12:BC12"/>
    <mergeCell ref="A13:BC13"/>
    <mergeCell ref="A15:BC15"/>
  </mergeCells>
  <dataValidations count="1">
    <dataValidation type="textLength" operator="lessThanOrEqual" allowBlank="1" showErrorMessage="1" errorTitle="Ошибка" error="Допускается ввод не более 900 символов!" sqref="B24 B27:B41 B44:B46 B48:B50 B52:B55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1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Ольга Викторовна</dc:creator>
  <cp:keywords/>
  <dc:description/>
  <cp:lastModifiedBy>orehova_i</cp:lastModifiedBy>
  <cp:lastPrinted>2018-05-21T12:14:04Z</cp:lastPrinted>
  <dcterms:created xsi:type="dcterms:W3CDTF">2018-03-30T10:24:56Z</dcterms:created>
  <dcterms:modified xsi:type="dcterms:W3CDTF">2018-05-22T13:06:50Z</dcterms:modified>
  <cp:category/>
  <cp:version/>
  <cp:contentType/>
  <cp:contentStatus/>
</cp:coreProperties>
</file>